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80611\Downloads\compta\"/>
    </mc:Choice>
  </mc:AlternateContent>
  <xr:revisionPtr revIDLastSave="0" documentId="8_{20B1DC77-CF09-4D57-A13C-5391EF3192FD}" xr6:coauthVersionLast="47" xr6:coauthVersionMax="47" xr10:uidLastSave="{00000000-0000-0000-0000-000000000000}"/>
  <bookViews>
    <workbookView xWindow="20370" yWindow="-120" windowWidth="29040" windowHeight="15840" xr2:uid="{989A6888-C28D-4F10-8536-AE54A213638F}"/>
  </bookViews>
  <sheets>
    <sheet name="DETAILS" sheetId="1" r:id="rId1"/>
    <sheet name="DONS" sheetId="2" r:id="rId2"/>
    <sheet name="SUBVENTIONS" sheetId="3" r:id="rId3"/>
    <sheet name="TAXES" sheetId="5" r:id="rId4"/>
    <sheet name="GRAPHIQU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55" i="1"/>
  <c r="I27" i="1"/>
  <c r="I29" i="1"/>
  <c r="I26" i="1"/>
  <c r="I13" i="1"/>
  <c r="I19" i="1"/>
  <c r="I10" i="1"/>
  <c r="I21" i="1"/>
  <c r="H27" i="1"/>
  <c r="H29" i="1"/>
  <c r="H26" i="1"/>
  <c r="H13" i="1"/>
  <c r="H19" i="1"/>
  <c r="H23" i="1" s="1"/>
  <c r="H10" i="1"/>
  <c r="H21" i="1"/>
  <c r="G27" i="1"/>
  <c r="G29" i="1"/>
  <c r="G26" i="1"/>
  <c r="G13" i="1"/>
  <c r="G19" i="1"/>
  <c r="G10" i="1"/>
  <c r="G21" i="1"/>
  <c r="F21" i="1"/>
  <c r="F6" i="1"/>
  <c r="L6" i="1" s="1"/>
  <c r="E21" i="1"/>
  <c r="E29" i="1"/>
  <c r="E53" i="1" s="1"/>
  <c r="E19" i="1"/>
  <c r="E13" i="1"/>
  <c r="E16" i="1"/>
  <c r="E28" i="1"/>
  <c r="E26" i="1"/>
  <c r="E10" i="1"/>
  <c r="C32" i="1"/>
  <c r="L32" i="1" s="1"/>
  <c r="C21" i="1"/>
  <c r="C28" i="1"/>
  <c r="C16" i="1"/>
  <c r="C29" i="1"/>
  <c r="C19" i="1"/>
  <c r="C26" i="1"/>
  <c r="C10" i="1"/>
  <c r="C27" i="1"/>
  <c r="B27" i="1"/>
  <c r="C13" i="1"/>
  <c r="B13" i="1"/>
  <c r="B29" i="1"/>
  <c r="B19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B21" i="1"/>
  <c r="B28" i="1"/>
  <c r="B16" i="1"/>
  <c r="B26" i="1"/>
  <c r="B10" i="1"/>
  <c r="J53" i="1"/>
  <c r="J54" i="1" s="1"/>
  <c r="F53" i="1"/>
  <c r="D53" i="1"/>
  <c r="D54" i="1" s="1"/>
  <c r="L31" i="1"/>
  <c r="L30" i="1"/>
  <c r="J23" i="1"/>
  <c r="F23" i="1"/>
  <c r="F54" i="1" s="1"/>
  <c r="D23" i="1"/>
  <c r="I53" i="1" l="1"/>
  <c r="I23" i="1"/>
  <c r="I54" i="1" s="1"/>
  <c r="H53" i="1"/>
  <c r="H54" i="1" s="1"/>
  <c r="L27" i="1"/>
  <c r="G53" i="1"/>
  <c r="G54" i="1" s="1"/>
  <c r="G23" i="1"/>
  <c r="E23" i="1"/>
  <c r="E54" i="1"/>
  <c r="C53" i="1"/>
  <c r="L28" i="1"/>
  <c r="L26" i="1"/>
  <c r="C23" i="1"/>
  <c r="B23" i="1"/>
  <c r="B53" i="1"/>
  <c r="L29" i="1"/>
  <c r="C54" i="1" l="1"/>
  <c r="L23" i="1"/>
  <c r="B54" i="1"/>
  <c r="L53" i="1"/>
  <c r="L54" i="1" l="1"/>
  <c r="B55" i="1"/>
  <c r="C55" i="1" s="1"/>
  <c r="D55" i="1" s="1"/>
  <c r="E55" i="1" s="1"/>
  <c r="F55" i="1" s="1"/>
  <c r="G55" i="1" s="1"/>
  <c r="H55" i="1" s="1"/>
  <c r="I55" i="1" s="1"/>
  <c r="J55" i="1" s="1"/>
</calcChain>
</file>

<file path=xl/sharedStrings.xml><?xml version="1.0" encoding="utf-8"?>
<sst xmlns="http://schemas.openxmlformats.org/spreadsheetml/2006/main" count="50" uniqueCount="50">
  <si>
    <t>TOTAL</t>
  </si>
  <si>
    <t>TOTAL ENTREES</t>
  </si>
  <si>
    <t>TOTAL SORTIES</t>
  </si>
  <si>
    <t>SOLDE COMPTE COURANT (trésorerie)</t>
  </si>
  <si>
    <t>Solde réel S.A.</t>
  </si>
  <si>
    <t>JOUR</t>
  </si>
  <si>
    <t>DECAISSEMENTS</t>
  </si>
  <si>
    <t>ENCAISSEMENTS</t>
  </si>
  <si>
    <t xml:space="preserve">Remise chq du </t>
  </si>
  <si>
    <t xml:space="preserve">VERST ESPECES CAISSE DIRECTION LE </t>
  </si>
  <si>
    <t>Remise T.Resto Porte Dorée</t>
  </si>
  <si>
    <t>Remise CB Porte Dorée</t>
  </si>
  <si>
    <t>Frais de CB Porte Dorée</t>
  </si>
  <si>
    <t>Remise Chq Porte Dorée</t>
  </si>
  <si>
    <t>Remise T.Resto BND</t>
  </si>
  <si>
    <t>Remise CB BND</t>
  </si>
  <si>
    <t>Remise Chq BND</t>
  </si>
  <si>
    <t>Frais de CB BND</t>
  </si>
  <si>
    <t>Frais de CB Les Berges</t>
  </si>
  <si>
    <t>Remise T.Resto Les Berges</t>
  </si>
  <si>
    <t>Remise CB Les Berges</t>
  </si>
  <si>
    <t>Remise Chq Les Berges</t>
  </si>
  <si>
    <t xml:space="preserve">Remise T.Resto Amis de Cluny </t>
  </si>
  <si>
    <t xml:space="preserve">Remise CB Amis de Cluny </t>
  </si>
  <si>
    <t>Remise Chq Amis de Cluny</t>
  </si>
  <si>
    <t>Frais de CB Amis de Cluny</t>
  </si>
  <si>
    <t>ORANGE Lease   Prélèvt</t>
  </si>
  <si>
    <t>DIFFERENCE ENCAISSEMENT DECAISSEMENT</t>
  </si>
  <si>
    <t>ECHEANCE PRET 02837 61098356</t>
  </si>
  <si>
    <t>Virt clients</t>
  </si>
  <si>
    <t>Fournisseurs + autres</t>
  </si>
  <si>
    <t>ECHEANCE PRET 02837 61138126</t>
  </si>
  <si>
    <t>PRLV SEPA EQUALOG</t>
  </si>
  <si>
    <t xml:space="preserve">PRLV SEPA ALLIANZ IARD </t>
  </si>
  <si>
    <t xml:space="preserve">PRLV SEPA TOTALENERGIES ELECTRICITE ET GAZ </t>
  </si>
  <si>
    <t>VIR SEPA EMIS /PID THOUY</t>
  </si>
  <si>
    <t xml:space="preserve">VIR SEPA EMIS /PID REMISE 20220902 NO 000968 </t>
  </si>
  <si>
    <t>CHEQUE 6754360</t>
  </si>
  <si>
    <t>Remise chq (BORDEREAU 04510790,04510789,
04510788,04510787,04510786)</t>
  </si>
  <si>
    <t>VIR SEPA EMIS /PID SEKRI /IID SEKRI /SDT 220907</t>
  </si>
  <si>
    <t>PAIEMENT RELEVE EFFETS REG 0809 RELEVE 04915277</t>
  </si>
  <si>
    <t>CHEQUE 6754359</t>
  </si>
  <si>
    <t>PRLV SEPA URSSAF ILE-DE-FRANCE (117) AOUT</t>
  </si>
  <si>
    <t>PRLV SEPA ORANGE FIXE</t>
  </si>
  <si>
    <t>COMMISSIONS FACTURE NUMERO 20220901103542015</t>
  </si>
  <si>
    <t>VIR SEPA EMIS /PID VALDESEINE</t>
  </si>
  <si>
    <t>VIR SEPA EMIS /PID REMISE 20220909 
NO 000970 /SDT 220909 /NBT 0000001</t>
  </si>
  <si>
    <t>VIR SEPA EMIS /PID OJETABLE FACT DU 24/05 AU 29/06</t>
  </si>
  <si>
    <t>VIR SEPA EMIS /PID DMCUISINE FACT 20220653 20220682</t>
  </si>
  <si>
    <t>PRLV ECHEANCE PRET 02837 61098938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</si>
</sst>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dd/m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4" fontId="4" fillId="0" borderId="2" xfId="0" applyNumberFormat="1" applyFont="1" applyBorder="1" applyProtection="1">
      <protection locked="0"/>
    </xf>
    <xf numFmtId="4" fontId="4" fillId="2" borderId="2" xfId="0" applyNumberFormat="1" applyFont="1" applyFill="1" applyBorder="1" applyProtection="1">
      <protection locked="0"/>
    </xf>
    <xf numFmtId="4" fontId="0" fillId="0" borderId="0" xfId="0" applyNumberFormat="1"/>
    <xf numFmtId="4" fontId="2" fillId="0" borderId="2" xfId="0" applyNumberFormat="1" applyFont="1" applyBorder="1"/>
    <xf numFmtId="0" fontId="0" fillId="0" borderId="3" xfId="0" applyBorder="1" applyProtection="1">
      <protection locked="0"/>
    </xf>
    <xf numFmtId="4" fontId="4" fillId="0" borderId="3" xfId="0" applyNumberFormat="1" applyFont="1" applyBorder="1" applyProtection="1">
      <protection locked="0"/>
    </xf>
    <xf numFmtId="4" fontId="4" fillId="2" borderId="3" xfId="0" applyNumberFormat="1" applyFont="1" applyFill="1" applyBorder="1" applyProtection="1">
      <protection locked="0"/>
    </xf>
    <xf numFmtId="4" fontId="2" fillId="0" borderId="3" xfId="0" applyNumberFormat="1" applyFont="1" applyBorder="1"/>
    <xf numFmtId="0" fontId="0" fillId="0" borderId="4" xfId="0" applyBorder="1" applyProtection="1">
      <protection locked="0"/>
    </xf>
    <xf numFmtId="4" fontId="4" fillId="0" borderId="4" xfId="0" applyNumberFormat="1" applyFont="1" applyBorder="1" applyProtection="1">
      <protection locked="0"/>
    </xf>
    <xf numFmtId="4" fontId="2" fillId="0" borderId="0" xfId="0" applyNumberFormat="1" applyFont="1"/>
    <xf numFmtId="0" fontId="2" fillId="0" borderId="6" xfId="0" applyFont="1" applyBorder="1"/>
    <xf numFmtId="4" fontId="2" fillId="2" borderId="7" xfId="0" applyNumberFormat="1" applyFont="1" applyFill="1" applyBorder="1"/>
    <xf numFmtId="4" fontId="2" fillId="2" borderId="8" xfId="0" applyNumberFormat="1" applyFont="1" applyFill="1" applyBorder="1"/>
    <xf numFmtId="0" fontId="2" fillId="3" borderId="9" xfId="0" applyFont="1" applyFill="1" applyBorder="1"/>
    <xf numFmtId="4" fontId="2" fillId="2" borderId="3" xfId="0" applyNumberFormat="1" applyFont="1" applyFill="1" applyBorder="1"/>
    <xf numFmtId="0" fontId="5" fillId="0" borderId="10" xfId="0" applyFont="1" applyBorder="1"/>
    <xf numFmtId="4" fontId="5" fillId="0" borderId="1" xfId="0" applyNumberFormat="1" applyFont="1" applyBorder="1"/>
    <xf numFmtId="4" fontId="6" fillId="0" borderId="0" xfId="0" applyNumberFormat="1" applyFont="1"/>
    <xf numFmtId="0" fontId="2" fillId="0" borderId="11" xfId="0" applyFont="1" applyBorder="1"/>
    <xf numFmtId="4" fontId="2" fillId="0" borderId="12" xfId="0" applyNumberFormat="1" applyFont="1" applyBorder="1"/>
    <xf numFmtId="0" fontId="7" fillId="0" borderId="0" xfId="0" applyFont="1"/>
    <xf numFmtId="167" fontId="2" fillId="0" borderId="1" xfId="0" applyNumberFormat="1" applyFont="1" applyBorder="1" applyAlignment="1">
      <alignment horizontal="center"/>
    </xf>
    <xf numFmtId="4" fontId="2" fillId="3" borderId="5" xfId="0" applyNumberFormat="1" applyFont="1" applyFill="1" applyBorder="1"/>
    <xf numFmtId="0" fontId="2" fillId="4" borderId="9" xfId="0" applyFont="1" applyFill="1" applyBorder="1"/>
    <xf numFmtId="0" fontId="2" fillId="4" borderId="2" xfId="0" applyFont="1" applyFill="1" applyBorder="1"/>
    <xf numFmtId="4" fontId="2" fillId="4" borderId="2" xfId="0" applyNumberFormat="1" applyFont="1" applyFill="1" applyBorder="1"/>
    <xf numFmtId="43" fontId="3" fillId="0" borderId="1" xfId="1" applyFont="1" applyBorder="1"/>
    <xf numFmtId="0" fontId="3" fillId="5" borderId="1" xfId="0" applyFont="1" applyFill="1" applyBorder="1" applyAlignment="1">
      <alignment horizontal="left"/>
    </xf>
    <xf numFmtId="0" fontId="8" fillId="0" borderId="3" xfId="0" applyFont="1" applyBorder="1" applyProtection="1">
      <protection locked="0"/>
    </xf>
    <xf numFmtId="0" fontId="9" fillId="0" borderId="3" xfId="0" applyFont="1" applyBorder="1" applyProtection="1">
      <protection locked="0"/>
    </xf>
    <xf numFmtId="0" fontId="0" fillId="0" borderId="4" xfId="0" applyBorder="1"/>
    <xf numFmtId="0" fontId="2" fillId="3" borderId="1" xfId="0" applyFont="1" applyFill="1" applyBorder="1"/>
    <xf numFmtId="4" fontId="4" fillId="2" borderId="13" xfId="0" applyNumberFormat="1" applyFont="1" applyFill="1" applyBorder="1" applyProtection="1">
      <protection locked="0"/>
    </xf>
    <xf numFmtId="14" fontId="0" fillId="0" borderId="0" xfId="0" applyNumberFormat="1"/>
    <xf numFmtId="0" fontId="8" fillId="0" borderId="3" xfId="0" applyFont="1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8" xfId="0" applyFill="1" applyBorder="1" applyProtection="1">
      <protection locked="0"/>
    </xf>
  </cellXfs>
  <cellStyles count="2">
    <cellStyle name="Milliers" xfId="1" builtinId="3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7F37-ABEE-4EFB-A168-A0ADA9643AB5}">
  <dimension ref="A1:L55"/>
  <sheetViews>
    <sheetView tabSelected="1" zoomScale="85" zoomScaleNormal="85" workbookViewId="0">
      <selection activeCell="B55" sqref="B55"/>
    </sheetView>
  </sheetViews>
  <sheetFormatPr baseColWidth="10" defaultRowHeight="15" x14ac:dyDescent="0.25"/>
  <cols>
    <col min="1" max="1" width="45" bestFit="1" customWidth="1"/>
    <col min="2" max="2" width="13.140625" bestFit="1" customWidth="1"/>
    <col min="3" max="10" width="10.28515625" bestFit="1" customWidth="1"/>
    <col min="12" max="12" width="12.42578125" bestFit="1" customWidth="1"/>
  </cols>
  <sheetData>
    <row r="1" spans="1:12" ht="21" x14ac:dyDescent="0.35">
      <c r="B1" s="38">
        <v>44804</v>
      </c>
      <c r="D1" s="25"/>
    </row>
    <row r="2" spans="1:12" ht="15.75" x14ac:dyDescent="0.25">
      <c r="A2" s="32" t="s">
        <v>4</v>
      </c>
      <c r="B2" s="31">
        <v>387104.01</v>
      </c>
    </row>
    <row r="4" spans="1:12" ht="15.75" x14ac:dyDescent="0.25">
      <c r="A4" s="1" t="s">
        <v>5</v>
      </c>
      <c r="B4" s="26">
        <v>44805</v>
      </c>
      <c r="C4" s="26">
        <v>44806</v>
      </c>
      <c r="D4" s="26">
        <v>44807</v>
      </c>
      <c r="E4" s="26">
        <v>44809</v>
      </c>
      <c r="F4" s="26">
        <v>44810</v>
      </c>
      <c r="G4" s="26">
        <v>44811</v>
      </c>
      <c r="H4" s="26">
        <v>44812</v>
      </c>
      <c r="I4" s="26">
        <v>44813</v>
      </c>
      <c r="J4" s="26">
        <v>44814</v>
      </c>
      <c r="K4" s="2"/>
      <c r="L4" s="3" t="s">
        <v>0</v>
      </c>
    </row>
    <row r="5" spans="1:12" x14ac:dyDescent="0.25">
      <c r="A5" s="18" t="s">
        <v>7</v>
      </c>
      <c r="B5" s="36"/>
      <c r="C5" s="18"/>
      <c r="D5" s="18"/>
      <c r="E5" s="18"/>
      <c r="F5" s="18"/>
      <c r="G5" s="18"/>
      <c r="H5" s="18"/>
      <c r="I5" s="18"/>
      <c r="J5" s="18"/>
      <c r="L5" s="18"/>
    </row>
    <row r="6" spans="1:12" ht="30" x14ac:dyDescent="0.25">
      <c r="A6" s="39" t="s">
        <v>38</v>
      </c>
      <c r="B6" s="5"/>
      <c r="C6" s="37"/>
      <c r="D6" s="5"/>
      <c r="E6" s="5"/>
      <c r="F6" s="5">
        <f>4425.28+2344.8+287.97+199.73+1580.1+19.25</f>
        <v>8857.1299999999992</v>
      </c>
      <c r="G6" s="5"/>
      <c r="H6" s="5"/>
      <c r="I6" s="5"/>
      <c r="J6" s="5"/>
      <c r="K6" s="6"/>
      <c r="L6" s="7">
        <f>+SUM(B6:J6)</f>
        <v>8857.1299999999992</v>
      </c>
    </row>
    <row r="7" spans="1:12" x14ac:dyDescent="0.25">
      <c r="A7" s="33" t="s">
        <v>8</v>
      </c>
      <c r="B7" s="9"/>
      <c r="C7" s="9"/>
      <c r="D7" s="9"/>
      <c r="E7" s="9"/>
      <c r="F7" s="9"/>
      <c r="G7" s="9"/>
      <c r="H7" s="9"/>
      <c r="I7" s="9"/>
      <c r="J7" s="9"/>
      <c r="K7" s="6"/>
      <c r="L7" s="7">
        <f t="shared" ref="L7:L22" si="0">+SUM(B7:J7)</f>
        <v>0</v>
      </c>
    </row>
    <row r="8" spans="1:12" x14ac:dyDescent="0.25">
      <c r="A8" s="33" t="s">
        <v>9</v>
      </c>
      <c r="B8" s="9"/>
      <c r="C8" s="9"/>
      <c r="D8" s="9"/>
      <c r="E8" s="9"/>
      <c r="F8" s="9"/>
      <c r="G8" s="9"/>
      <c r="H8" s="9"/>
      <c r="I8" s="9">
        <v>27730</v>
      </c>
      <c r="J8" s="9"/>
      <c r="K8" s="6"/>
      <c r="L8" s="7">
        <f t="shared" si="0"/>
        <v>27730</v>
      </c>
    </row>
    <row r="9" spans="1:12" x14ac:dyDescent="0.25">
      <c r="A9" s="34" t="s">
        <v>10</v>
      </c>
      <c r="B9" s="10"/>
      <c r="C9" s="10"/>
      <c r="D9" s="10"/>
      <c r="E9" s="10"/>
      <c r="F9" s="10"/>
      <c r="G9" s="10"/>
      <c r="H9" s="10"/>
      <c r="I9" s="10"/>
      <c r="J9" s="10"/>
      <c r="K9" s="6"/>
      <c r="L9" s="7">
        <f t="shared" si="0"/>
        <v>0</v>
      </c>
    </row>
    <row r="10" spans="1:12" x14ac:dyDescent="0.25">
      <c r="A10" s="34" t="s">
        <v>11</v>
      </c>
      <c r="B10" s="9">
        <f>296.1+90.25</f>
        <v>386.35</v>
      </c>
      <c r="C10" s="10">
        <f>172.9+24.3</f>
        <v>197.20000000000002</v>
      </c>
      <c r="D10" s="10"/>
      <c r="E10" s="10">
        <f>41.6+451+125+398.8+48.5+120.6</f>
        <v>1185.5</v>
      </c>
      <c r="F10" s="10"/>
      <c r="G10" s="10">
        <f>73.67+200.4</f>
        <v>274.07</v>
      </c>
      <c r="H10" s="10">
        <f>357.1+47.2</f>
        <v>404.3</v>
      </c>
      <c r="I10" s="10">
        <f>14.5+157.2</f>
        <v>171.7</v>
      </c>
      <c r="J10" s="10"/>
      <c r="K10" s="6"/>
      <c r="L10" s="7">
        <f t="shared" si="0"/>
        <v>2619.12</v>
      </c>
    </row>
    <row r="11" spans="1:12" x14ac:dyDescent="0.25">
      <c r="A11" s="34" t="s">
        <v>13</v>
      </c>
      <c r="B11" s="9"/>
      <c r="C11" s="10"/>
      <c r="D11" s="10"/>
      <c r="E11" s="10"/>
      <c r="F11" s="10"/>
      <c r="G11" s="10"/>
      <c r="H11" s="10"/>
      <c r="I11" s="10"/>
      <c r="J11" s="10"/>
      <c r="K11" s="6"/>
      <c r="L11" s="7">
        <f t="shared" si="0"/>
        <v>0</v>
      </c>
    </row>
    <row r="12" spans="1:12" x14ac:dyDescent="0.25">
      <c r="A12" s="34" t="s">
        <v>14</v>
      </c>
      <c r="B12" s="9"/>
      <c r="C12" s="10"/>
      <c r="D12" s="10"/>
      <c r="E12" s="10"/>
      <c r="F12" s="10"/>
      <c r="G12" s="10"/>
      <c r="H12" s="10"/>
      <c r="I12" s="10"/>
      <c r="J12" s="10"/>
      <c r="K12" s="6"/>
      <c r="L12" s="7">
        <f t="shared" si="0"/>
        <v>0</v>
      </c>
    </row>
    <row r="13" spans="1:12" x14ac:dyDescent="0.25">
      <c r="A13" s="34" t="s">
        <v>15</v>
      </c>
      <c r="B13" s="9">
        <f>55.12+92.25</f>
        <v>147.37</v>
      </c>
      <c r="C13" s="10">
        <f>75.67</f>
        <v>75.67</v>
      </c>
      <c r="D13" s="10"/>
      <c r="E13" s="10">
        <f>25.95</f>
        <v>25.95</v>
      </c>
      <c r="F13" s="10">
        <v>19.25</v>
      </c>
      <c r="G13" s="10">
        <f>92+161.52</f>
        <v>253.52</v>
      </c>
      <c r="H13" s="10">
        <f>260.96+150.8</f>
        <v>411.76</v>
      </c>
      <c r="I13" s="10">
        <f>109.44+19.1</f>
        <v>128.54</v>
      </c>
      <c r="J13" s="10"/>
      <c r="K13" s="6"/>
      <c r="L13" s="7">
        <f t="shared" si="0"/>
        <v>1062.06</v>
      </c>
    </row>
    <row r="14" spans="1:12" x14ac:dyDescent="0.25">
      <c r="A14" s="34" t="s">
        <v>16</v>
      </c>
      <c r="B14" s="9"/>
      <c r="C14" s="10"/>
      <c r="D14" s="10"/>
      <c r="E14" s="10"/>
      <c r="F14" s="10"/>
      <c r="G14" s="10"/>
      <c r="H14" s="10"/>
      <c r="I14" s="10"/>
      <c r="J14" s="10"/>
      <c r="K14" s="6"/>
      <c r="L14" s="7">
        <f t="shared" si="0"/>
        <v>0</v>
      </c>
    </row>
    <row r="15" spans="1:12" x14ac:dyDescent="0.25">
      <c r="A15" s="34" t="s">
        <v>19</v>
      </c>
      <c r="B15" s="9"/>
      <c r="C15" s="10"/>
      <c r="D15" s="10"/>
      <c r="E15" s="10"/>
      <c r="F15" s="10"/>
      <c r="G15" s="10"/>
      <c r="H15" s="10"/>
      <c r="I15" s="10"/>
      <c r="J15" s="10"/>
      <c r="K15" s="6"/>
      <c r="L15" s="7">
        <f t="shared" si="0"/>
        <v>0</v>
      </c>
    </row>
    <row r="16" spans="1:12" x14ac:dyDescent="0.25">
      <c r="A16" s="34" t="s">
        <v>20</v>
      </c>
      <c r="B16" s="9">
        <f>615.5+49.5</f>
        <v>665</v>
      </c>
      <c r="C16" s="10">
        <f>518.5+26</f>
        <v>544.5</v>
      </c>
      <c r="D16" s="10"/>
      <c r="E16" s="10">
        <f>88.5+1271+1199.5+102.5</f>
        <v>2661.5</v>
      </c>
      <c r="F16" s="10"/>
      <c r="G16" s="10"/>
      <c r="H16" s="10"/>
      <c r="I16" s="10"/>
      <c r="J16" s="10"/>
      <c r="K16" s="6"/>
      <c r="L16" s="7">
        <f t="shared" si="0"/>
        <v>3871</v>
      </c>
    </row>
    <row r="17" spans="1:12" x14ac:dyDescent="0.25">
      <c r="A17" s="34" t="s">
        <v>21</v>
      </c>
      <c r="B17" s="9"/>
      <c r="C17" s="10"/>
      <c r="D17" s="10"/>
      <c r="E17" s="10"/>
      <c r="F17" s="10"/>
      <c r="G17" s="10"/>
      <c r="H17" s="10"/>
      <c r="I17" s="10"/>
      <c r="J17" s="10"/>
      <c r="K17" s="6"/>
      <c r="L17" s="7">
        <f t="shared" si="0"/>
        <v>0</v>
      </c>
    </row>
    <row r="18" spans="1:12" x14ac:dyDescent="0.25">
      <c r="A18" s="34" t="s">
        <v>22</v>
      </c>
      <c r="B18" s="9"/>
      <c r="C18" s="10"/>
      <c r="D18" s="10"/>
      <c r="E18" s="10"/>
      <c r="F18" s="10"/>
      <c r="G18" s="10"/>
      <c r="H18" s="10"/>
      <c r="I18" s="10"/>
      <c r="J18" s="10"/>
      <c r="K18" s="6"/>
      <c r="L18" s="7">
        <f t="shared" si="0"/>
        <v>0</v>
      </c>
    </row>
    <row r="19" spans="1:12" x14ac:dyDescent="0.25">
      <c r="A19" s="34" t="s">
        <v>23</v>
      </c>
      <c r="B19" s="9">
        <f>300.4+15</f>
        <v>315.39999999999998</v>
      </c>
      <c r="C19" s="10">
        <f>76.3+241.9</f>
        <v>318.2</v>
      </c>
      <c r="D19" s="10"/>
      <c r="E19" s="10">
        <f>584.6+111.7+487.8+67+179.3+18.9</f>
        <v>1449.3000000000002</v>
      </c>
      <c r="F19" s="10"/>
      <c r="G19" s="10">
        <f>342.1+47</f>
        <v>389.1</v>
      </c>
      <c r="H19" s="10">
        <f>293.3+19.2</f>
        <v>312.5</v>
      </c>
      <c r="I19" s="10">
        <f>263.8+11.8</f>
        <v>275.60000000000002</v>
      </c>
      <c r="J19" s="10"/>
      <c r="K19" s="6"/>
      <c r="L19" s="7">
        <f t="shared" si="0"/>
        <v>3060.1</v>
      </c>
    </row>
    <row r="20" spans="1:12" x14ac:dyDescent="0.25">
      <c r="A20" s="34" t="s">
        <v>24</v>
      </c>
      <c r="B20" s="9"/>
      <c r="C20" s="10"/>
      <c r="D20" s="10"/>
      <c r="E20" s="10"/>
      <c r="F20" s="10"/>
      <c r="G20" s="10"/>
      <c r="H20" s="10"/>
      <c r="I20" s="10"/>
      <c r="J20" s="10"/>
      <c r="K20" s="6"/>
      <c r="L20" s="7">
        <f t="shared" si="0"/>
        <v>0</v>
      </c>
    </row>
    <row r="21" spans="1:12" x14ac:dyDescent="0.25">
      <c r="A21" s="33" t="s">
        <v>29</v>
      </c>
      <c r="B21" s="9">
        <f>1024.89+358.84+6340.4+411.21</f>
        <v>8135.3399999999992</v>
      </c>
      <c r="C21" s="10">
        <f>359.7+653.05+146.3+733.09+1837.09+760.21+760.21+66.94+5083.87+304.7+922.24+1038.28</f>
        <v>12665.68</v>
      </c>
      <c r="D21" s="10"/>
      <c r="E21" s="10">
        <f>812.9+963.25+1562.65+1892.85+1938.63+576.84+296.12+85323.27+6608.8+677.6</f>
        <v>100652.91000000002</v>
      </c>
      <c r="F21" s="10">
        <f>233.18+139.83+699.16+996.16+2454.4+587.68+262.16+388.85+517.37</f>
        <v>6278.79</v>
      </c>
      <c r="G21" s="10">
        <f>438.85+1215.5+4178.29+1309.35+397.1</f>
        <v>7539.09</v>
      </c>
      <c r="H21" s="10">
        <f>1318.68+1878.44+1314.14+211.75+851.7+234.2+531.48+797.06+166.65</f>
        <v>7304.0999999999985</v>
      </c>
      <c r="I21" s="10">
        <f>4316.4+844.7+2571.82+393.58+793.1</f>
        <v>8919.6</v>
      </c>
      <c r="J21" s="10"/>
      <c r="K21" s="6"/>
      <c r="L21" s="7">
        <f t="shared" si="0"/>
        <v>151495.51000000004</v>
      </c>
    </row>
    <row r="22" spans="1:12" x14ac:dyDescent="0.25">
      <c r="A22" s="34"/>
      <c r="B22" s="35"/>
      <c r="C22" s="10"/>
      <c r="D22" s="10"/>
      <c r="E22" s="10"/>
      <c r="F22" s="10"/>
      <c r="G22" s="10"/>
      <c r="H22" s="10"/>
      <c r="I22" s="10"/>
      <c r="J22" s="10"/>
      <c r="K22" s="6"/>
      <c r="L22" s="7">
        <f t="shared" si="0"/>
        <v>0</v>
      </c>
    </row>
    <row r="23" spans="1:12" ht="15.75" thickBot="1" x14ac:dyDescent="0.3">
      <c r="A23" s="18" t="s">
        <v>1</v>
      </c>
      <c r="B23" s="27">
        <f>+SUM(B6:B21)</f>
        <v>9649.4599999999991</v>
      </c>
      <c r="C23" s="27">
        <f>+SUM(C6:C22)</f>
        <v>13801.25</v>
      </c>
      <c r="D23" s="27">
        <f>+SUM(D6:D22)</f>
        <v>0</v>
      </c>
      <c r="E23" s="27">
        <f>+SUM(E6:E22)</f>
        <v>105975.16000000002</v>
      </c>
      <c r="F23" s="27">
        <f>+SUM(F6:F22)</f>
        <v>15155.169999999998</v>
      </c>
      <c r="G23" s="27">
        <f>+SUM(G6:G22)</f>
        <v>8455.7800000000007</v>
      </c>
      <c r="H23" s="27">
        <f>+SUM(H6:H22)</f>
        <v>8432.659999999998</v>
      </c>
      <c r="I23" s="27">
        <f>+SUM(I6:I22)</f>
        <v>37225.440000000002</v>
      </c>
      <c r="J23" s="27">
        <f>+SUM(J6:J22)</f>
        <v>0</v>
      </c>
      <c r="K23" s="14"/>
      <c r="L23" s="27">
        <f>+SUM(B23:J23)</f>
        <v>198694.92000000004</v>
      </c>
    </row>
    <row r="24" spans="1:12" x14ac:dyDescent="0.25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4"/>
      <c r="L24" s="17"/>
    </row>
    <row r="25" spans="1:12" x14ac:dyDescent="0.25">
      <c r="A25" s="28" t="s">
        <v>6</v>
      </c>
      <c r="B25" s="28"/>
      <c r="C25" s="28"/>
      <c r="D25" s="28"/>
      <c r="E25" s="28"/>
      <c r="F25" s="28"/>
      <c r="G25" s="28"/>
      <c r="H25" s="28"/>
      <c r="I25" s="28"/>
      <c r="J25" s="28"/>
      <c r="K25" s="6"/>
      <c r="L25" s="28"/>
    </row>
    <row r="26" spans="1:12" x14ac:dyDescent="0.25">
      <c r="A26" s="34" t="s">
        <v>12</v>
      </c>
      <c r="B26" s="4">
        <f>-8.16-2.55</f>
        <v>-10.71</v>
      </c>
      <c r="C26" s="5">
        <f>-6.13-0.95</f>
        <v>-7.08</v>
      </c>
      <c r="D26" s="5"/>
      <c r="E26" s="5">
        <f>-1.49-12.7-4.04-12.71-1.36-4.98</f>
        <v>-37.28</v>
      </c>
      <c r="F26" s="5"/>
      <c r="G26" s="5">
        <f>-1.81-6.01</f>
        <v>-7.82</v>
      </c>
      <c r="H26" s="5">
        <f>-10.1-1.3</f>
        <v>-11.4</v>
      </c>
      <c r="I26" s="5">
        <f>-0.29-5.6</f>
        <v>-5.89</v>
      </c>
      <c r="J26" s="5"/>
      <c r="K26" s="6"/>
      <c r="L26" s="7">
        <f>+SUM(B26:J26)</f>
        <v>-80.180000000000007</v>
      </c>
    </row>
    <row r="27" spans="1:12" x14ac:dyDescent="0.25">
      <c r="A27" s="34" t="s">
        <v>17</v>
      </c>
      <c r="B27" s="9">
        <f>-1.54-1.35</f>
        <v>-2.89</v>
      </c>
      <c r="C27" s="10">
        <f>-1.66</f>
        <v>-1.66</v>
      </c>
      <c r="D27" s="10"/>
      <c r="E27" s="10">
        <v>-0.59</v>
      </c>
      <c r="F27" s="10">
        <v>-0.52</v>
      </c>
      <c r="G27" s="10">
        <f>-0.95-3.96</f>
        <v>-4.91</v>
      </c>
      <c r="H27" s="10">
        <f>-5.19-2.33</f>
        <v>-7.5200000000000005</v>
      </c>
      <c r="I27" s="10">
        <f>-2.47-0.52</f>
        <v>-2.99</v>
      </c>
      <c r="J27" s="10"/>
      <c r="K27" s="6"/>
      <c r="L27" s="11">
        <f>+SUM(B27:J27)</f>
        <v>-21.08</v>
      </c>
    </row>
    <row r="28" spans="1:12" x14ac:dyDescent="0.25">
      <c r="A28" s="34" t="s">
        <v>18</v>
      </c>
      <c r="B28" s="9">
        <f>-18.89-1.02</f>
        <v>-19.91</v>
      </c>
      <c r="C28" s="10">
        <f>-14.71-0.8</f>
        <v>-15.510000000000002</v>
      </c>
      <c r="D28" s="10"/>
      <c r="E28" s="10">
        <f>-2.99-35.37-30.15-2.73</f>
        <v>-71.239999999999995</v>
      </c>
      <c r="F28" s="10"/>
      <c r="G28" s="10"/>
      <c r="H28" s="10"/>
      <c r="I28" s="10"/>
      <c r="J28" s="10"/>
      <c r="K28" s="6"/>
      <c r="L28" s="19">
        <f>+SUM(B28:J28)</f>
        <v>-106.66</v>
      </c>
    </row>
    <row r="29" spans="1:12" x14ac:dyDescent="0.25">
      <c r="A29" s="34" t="s">
        <v>25</v>
      </c>
      <c r="B29" s="9">
        <f>-7.27-0.89</f>
        <v>-8.16</v>
      </c>
      <c r="C29" s="10">
        <f>-1.29-7.34</f>
        <v>-8.629999999999999</v>
      </c>
      <c r="D29" s="10"/>
      <c r="E29" s="10">
        <f>-20.79-2.5-14.23-1.4-5.55-0.55</f>
        <v>-45.019999999999989</v>
      </c>
      <c r="F29" s="10"/>
      <c r="G29" s="10">
        <f>-12.05-1.28</f>
        <v>-13.33</v>
      </c>
      <c r="H29" s="10">
        <f>-8.48-0.73</f>
        <v>-9.2100000000000009</v>
      </c>
      <c r="I29" s="10">
        <f>-9.2-3.5</f>
        <v>-12.7</v>
      </c>
      <c r="J29" s="10"/>
      <c r="K29" s="6"/>
      <c r="L29" s="19">
        <f>+SUM(B29:J29)</f>
        <v>-97.05</v>
      </c>
    </row>
    <row r="30" spans="1:12" x14ac:dyDescent="0.25">
      <c r="A30" s="8" t="s">
        <v>26</v>
      </c>
      <c r="B30" s="9">
        <v>-272.89</v>
      </c>
      <c r="C30" s="9"/>
      <c r="D30" s="9"/>
      <c r="E30" s="9"/>
      <c r="F30" s="9"/>
      <c r="G30" s="9"/>
      <c r="H30" s="9"/>
      <c r="I30" s="9"/>
      <c r="J30" s="9"/>
      <c r="K30" s="6"/>
      <c r="L30" s="19">
        <f>+SUM(B30:J30)</f>
        <v>-272.89</v>
      </c>
    </row>
    <row r="31" spans="1:12" x14ac:dyDescent="0.25">
      <c r="A31" s="8" t="s">
        <v>28</v>
      </c>
      <c r="B31" s="9"/>
      <c r="C31" s="9">
        <v>-1143.44</v>
      </c>
      <c r="D31" s="9"/>
      <c r="E31" s="9"/>
      <c r="F31" s="9"/>
      <c r="G31" s="9"/>
      <c r="H31" s="9"/>
      <c r="I31" s="9"/>
      <c r="J31" s="9"/>
      <c r="K31" s="6"/>
      <c r="L31" s="19">
        <f>+SUM(B31:J31)</f>
        <v>-1143.44</v>
      </c>
    </row>
    <row r="32" spans="1:12" x14ac:dyDescent="0.25">
      <c r="A32" s="8" t="s">
        <v>30</v>
      </c>
      <c r="B32" s="9"/>
      <c r="C32" s="9">
        <f>-900-101-345.6-68.62-299-399.08-27.15</f>
        <v>-2140.4499999999998</v>
      </c>
      <c r="D32" s="9"/>
      <c r="E32" s="9"/>
      <c r="F32" s="9"/>
      <c r="G32" s="9"/>
      <c r="H32" s="9"/>
      <c r="I32" s="9"/>
      <c r="J32" s="9"/>
      <c r="K32" s="6"/>
      <c r="L32" s="19">
        <f t="shared" ref="L32:L52" si="1">+SUM(B32:J32)</f>
        <v>-2140.4499999999998</v>
      </c>
    </row>
    <row r="33" spans="1:12" x14ac:dyDescent="0.25">
      <c r="A33" t="s">
        <v>31</v>
      </c>
      <c r="B33" s="9"/>
      <c r="C33" s="9"/>
      <c r="D33" s="9">
        <v>-8639.9500000000007</v>
      </c>
      <c r="E33" s="9"/>
      <c r="F33" s="9"/>
      <c r="G33" s="9"/>
      <c r="H33" s="9"/>
      <c r="I33" s="9"/>
      <c r="J33" s="9"/>
      <c r="K33" s="6"/>
      <c r="L33" s="19">
        <f t="shared" si="1"/>
        <v>-8639.9500000000007</v>
      </c>
    </row>
    <row r="34" spans="1:12" x14ac:dyDescent="0.25">
      <c r="A34" s="8" t="s">
        <v>34</v>
      </c>
      <c r="B34" s="9"/>
      <c r="C34" s="9"/>
      <c r="D34" s="9"/>
      <c r="E34" s="9">
        <v>-3029.77</v>
      </c>
      <c r="F34" s="9"/>
      <c r="G34" s="9"/>
      <c r="H34" s="9"/>
      <c r="I34" s="9"/>
      <c r="J34" s="9"/>
      <c r="K34" s="6"/>
      <c r="L34" s="19">
        <f t="shared" si="1"/>
        <v>-3029.77</v>
      </c>
    </row>
    <row r="35" spans="1:12" x14ac:dyDescent="0.25">
      <c r="A35" s="8" t="s">
        <v>32</v>
      </c>
      <c r="B35" s="9"/>
      <c r="C35" s="9"/>
      <c r="D35" s="9"/>
      <c r="E35" s="9">
        <v>-108</v>
      </c>
      <c r="F35" s="9"/>
      <c r="G35" s="9"/>
      <c r="H35" s="9"/>
      <c r="I35" s="9"/>
      <c r="J35" s="9"/>
      <c r="K35" s="6"/>
      <c r="L35" s="19">
        <f t="shared" si="1"/>
        <v>-108</v>
      </c>
    </row>
    <row r="36" spans="1:12" x14ac:dyDescent="0.25">
      <c r="A36" s="8" t="s">
        <v>33</v>
      </c>
      <c r="B36" s="9"/>
      <c r="C36" s="9"/>
      <c r="D36" s="9"/>
      <c r="E36" s="9">
        <v>-757.34</v>
      </c>
      <c r="F36" s="9"/>
      <c r="G36" s="9"/>
      <c r="H36" s="9"/>
      <c r="I36" s="9"/>
      <c r="J36" s="9"/>
      <c r="K36" s="6"/>
      <c r="L36" s="19">
        <f t="shared" si="1"/>
        <v>-757.34</v>
      </c>
    </row>
    <row r="37" spans="1:12" x14ac:dyDescent="0.25">
      <c r="A37" s="8" t="s">
        <v>35</v>
      </c>
      <c r="B37" s="9"/>
      <c r="C37" s="9"/>
      <c r="D37" s="9"/>
      <c r="E37" s="9">
        <v>-1916.64</v>
      </c>
      <c r="F37" s="9"/>
      <c r="G37" s="9"/>
      <c r="H37" s="9"/>
      <c r="I37" s="9"/>
      <c r="J37" s="9"/>
      <c r="K37" s="6"/>
      <c r="L37" s="19">
        <f t="shared" si="1"/>
        <v>-1916.64</v>
      </c>
    </row>
    <row r="38" spans="1:12" x14ac:dyDescent="0.25">
      <c r="A38" s="8" t="s">
        <v>36</v>
      </c>
      <c r="B38" s="9"/>
      <c r="C38" s="10"/>
      <c r="D38" s="10"/>
      <c r="E38">
        <v>-6953.25</v>
      </c>
      <c r="F38" s="10"/>
      <c r="G38" s="10"/>
      <c r="H38" s="10"/>
      <c r="I38" s="10"/>
      <c r="J38" s="10"/>
      <c r="K38" s="6"/>
      <c r="L38" s="19">
        <f t="shared" si="1"/>
        <v>-6953.25</v>
      </c>
    </row>
    <row r="39" spans="1:12" x14ac:dyDescent="0.25">
      <c r="A39" s="8" t="s">
        <v>37</v>
      </c>
      <c r="B39" s="9"/>
      <c r="C39" s="10"/>
      <c r="D39" s="10"/>
      <c r="E39" s="10">
        <v>-1011.68</v>
      </c>
      <c r="F39" s="10"/>
      <c r="G39" s="10"/>
      <c r="H39" s="10"/>
      <c r="I39" s="10"/>
      <c r="J39" s="10"/>
      <c r="K39" s="6"/>
      <c r="L39" s="19">
        <f t="shared" si="1"/>
        <v>-1011.68</v>
      </c>
    </row>
    <row r="40" spans="1:12" x14ac:dyDescent="0.25">
      <c r="A40" s="8" t="s">
        <v>39</v>
      </c>
      <c r="B40" s="9"/>
      <c r="C40" s="10"/>
      <c r="D40" s="10"/>
      <c r="E40" s="10"/>
      <c r="F40" s="10">
        <v>-2000</v>
      </c>
      <c r="G40" s="10"/>
      <c r="H40" s="10"/>
      <c r="I40" s="10"/>
      <c r="J40" s="10"/>
      <c r="K40" s="6"/>
      <c r="L40" s="19">
        <f t="shared" si="1"/>
        <v>-2000</v>
      </c>
    </row>
    <row r="41" spans="1:12" x14ac:dyDescent="0.25">
      <c r="A41" s="8" t="s">
        <v>40</v>
      </c>
      <c r="B41" s="9"/>
      <c r="C41" s="10"/>
      <c r="D41" s="10"/>
      <c r="E41" s="10"/>
      <c r="F41" s="10"/>
      <c r="G41" s="10">
        <v>-1152.55</v>
      </c>
      <c r="H41" s="10"/>
      <c r="I41" s="10"/>
      <c r="J41" s="10"/>
      <c r="K41" s="6"/>
      <c r="L41" s="19">
        <f t="shared" si="1"/>
        <v>-1152.55</v>
      </c>
    </row>
    <row r="42" spans="1:12" x14ac:dyDescent="0.25">
      <c r="A42" s="8" t="s">
        <v>41</v>
      </c>
      <c r="B42" s="9"/>
      <c r="C42" s="10"/>
      <c r="D42" s="10"/>
      <c r="E42" s="10"/>
      <c r="F42" s="10"/>
      <c r="G42" s="10">
        <v>-1350</v>
      </c>
      <c r="H42" s="10"/>
      <c r="I42" s="10"/>
      <c r="J42" s="10"/>
      <c r="K42" s="6"/>
      <c r="L42" s="19">
        <f t="shared" si="1"/>
        <v>-1350</v>
      </c>
    </row>
    <row r="43" spans="1:12" x14ac:dyDescent="0.25">
      <c r="A43" s="8" t="s">
        <v>42</v>
      </c>
      <c r="B43" s="9"/>
      <c r="C43" s="10"/>
      <c r="D43" s="10"/>
      <c r="E43" s="10"/>
      <c r="F43" s="10"/>
      <c r="G43" s="10">
        <v>-50727</v>
      </c>
      <c r="H43" s="10"/>
      <c r="I43" s="10"/>
      <c r="J43" s="10"/>
      <c r="K43" s="6"/>
      <c r="L43" s="19">
        <f t="shared" si="1"/>
        <v>-50727</v>
      </c>
    </row>
    <row r="44" spans="1:12" x14ac:dyDescent="0.25">
      <c r="A44" s="8" t="s">
        <v>43</v>
      </c>
      <c r="B44" s="9"/>
      <c r="C44" s="10"/>
      <c r="D44" s="10"/>
      <c r="E44" s="10"/>
      <c r="F44" s="10"/>
      <c r="G44" s="10">
        <v>-499.44</v>
      </c>
      <c r="H44" s="10"/>
      <c r="I44" s="10"/>
      <c r="J44" s="10"/>
      <c r="K44" s="6"/>
      <c r="L44" s="19">
        <f t="shared" si="1"/>
        <v>-499.44</v>
      </c>
    </row>
    <row r="45" spans="1:12" x14ac:dyDescent="0.25">
      <c r="A45" s="8" t="s">
        <v>45</v>
      </c>
      <c r="B45" s="9"/>
      <c r="C45" s="10"/>
      <c r="D45" s="10"/>
      <c r="E45" s="10"/>
      <c r="F45" s="10"/>
      <c r="G45" s="10"/>
      <c r="H45" s="10"/>
      <c r="I45" s="10">
        <v>-3808.01</v>
      </c>
      <c r="J45" s="10"/>
      <c r="K45" s="6"/>
      <c r="L45" s="19">
        <f t="shared" si="1"/>
        <v>-3808.01</v>
      </c>
    </row>
    <row r="46" spans="1:12" ht="30" x14ac:dyDescent="0.25">
      <c r="A46" s="40" t="s">
        <v>46</v>
      </c>
      <c r="B46" s="9"/>
      <c r="C46" s="10"/>
      <c r="D46" s="10"/>
      <c r="E46" s="10"/>
      <c r="F46" s="10"/>
      <c r="G46" s="10"/>
      <c r="H46" s="10"/>
      <c r="I46" s="10">
        <v>-376.84</v>
      </c>
      <c r="J46" s="10"/>
      <c r="K46" s="6"/>
      <c r="L46" s="19">
        <f t="shared" si="1"/>
        <v>-376.84</v>
      </c>
    </row>
    <row r="47" spans="1:12" x14ac:dyDescent="0.25">
      <c r="A47" s="8" t="s">
        <v>47</v>
      </c>
      <c r="B47" s="9"/>
      <c r="C47" s="10"/>
      <c r="D47" s="10"/>
      <c r="E47" s="10"/>
      <c r="F47" s="10"/>
      <c r="G47" s="10"/>
      <c r="H47" s="10"/>
      <c r="I47" s="10">
        <v>-5294.74</v>
      </c>
      <c r="J47" s="10"/>
      <c r="K47" s="6"/>
      <c r="L47" s="19">
        <f t="shared" si="1"/>
        <v>-5294.74</v>
      </c>
    </row>
    <row r="48" spans="1:12" x14ac:dyDescent="0.25">
      <c r="A48" s="8" t="s">
        <v>48</v>
      </c>
      <c r="B48" s="9"/>
      <c r="C48" s="9"/>
      <c r="D48" s="9"/>
      <c r="E48" s="9"/>
      <c r="F48" s="9"/>
      <c r="G48" s="9"/>
      <c r="H48" s="9"/>
      <c r="I48" s="9">
        <v>-462</v>
      </c>
      <c r="J48" s="9"/>
      <c r="K48" s="6"/>
      <c r="L48" s="19">
        <f t="shared" si="1"/>
        <v>-462</v>
      </c>
    </row>
    <row r="49" spans="1:12" x14ac:dyDescent="0.25">
      <c r="A49" s="41" t="s">
        <v>49</v>
      </c>
      <c r="B49" s="9"/>
      <c r="C49" s="9"/>
      <c r="D49" s="9"/>
      <c r="E49" s="9"/>
      <c r="F49" s="9"/>
      <c r="G49" s="9"/>
      <c r="H49" s="9"/>
      <c r="I49" s="9">
        <v>-538.09</v>
      </c>
      <c r="J49" s="9"/>
      <c r="K49" s="6"/>
      <c r="L49" s="19">
        <f t="shared" si="1"/>
        <v>-538.09</v>
      </c>
    </row>
    <row r="50" spans="1:12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6"/>
      <c r="L50" s="19">
        <f t="shared" si="1"/>
        <v>0</v>
      </c>
    </row>
    <row r="51" spans="1:12" x14ac:dyDescent="0.25">
      <c r="A51" s="8" t="s">
        <v>44</v>
      </c>
      <c r="B51" s="9"/>
      <c r="C51" s="9"/>
      <c r="D51" s="9"/>
      <c r="E51" s="9"/>
      <c r="F51" s="9"/>
      <c r="G51" s="9"/>
      <c r="H51" s="9"/>
      <c r="I51" s="9"/>
      <c r="J51" s="9">
        <v>-146.12</v>
      </c>
      <c r="K51" s="6"/>
      <c r="L51" s="19">
        <f>+SUM(B51:J51)</f>
        <v>-146.12</v>
      </c>
    </row>
    <row r="52" spans="1:12" x14ac:dyDescent="0.25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6"/>
      <c r="L52" s="19">
        <f t="shared" si="1"/>
        <v>0</v>
      </c>
    </row>
    <row r="53" spans="1:12" x14ac:dyDescent="0.25">
      <c r="A53" s="29" t="s">
        <v>2</v>
      </c>
      <c r="B53" s="30">
        <f>+SUM(B26:B52)</f>
        <v>-314.56</v>
      </c>
      <c r="C53" s="30">
        <f>+SUM(C26:C52)</f>
        <v>-3316.77</v>
      </c>
      <c r="D53" s="30">
        <f>+SUM(D26:D52)</f>
        <v>-8639.9500000000007</v>
      </c>
      <c r="E53" s="30">
        <f>+SUM(E26:E52)</f>
        <v>-13930.810000000001</v>
      </c>
      <c r="F53" s="30">
        <f>+SUM(F26:F52)</f>
        <v>-2000.52</v>
      </c>
      <c r="G53" s="30">
        <f>+SUM(G26:G52)</f>
        <v>-53755.05</v>
      </c>
      <c r="H53" s="30">
        <f>+SUM(H26:H52)</f>
        <v>-28.130000000000003</v>
      </c>
      <c r="I53" s="30">
        <f>+SUM(I26:I52)</f>
        <v>-10501.26</v>
      </c>
      <c r="J53" s="30">
        <f>+SUM(J26:J52)</f>
        <v>-146.12</v>
      </c>
      <c r="K53" s="6"/>
      <c r="L53" s="30">
        <f>+SUM(B53:J53)</f>
        <v>-92633.17</v>
      </c>
    </row>
    <row r="54" spans="1:12" x14ac:dyDescent="0.25">
      <c r="A54" s="20" t="s">
        <v>27</v>
      </c>
      <c r="B54" s="21">
        <f>+B23+B53</f>
        <v>9334.9</v>
      </c>
      <c r="C54" s="21">
        <f t="shared" ref="C54:J54" si="2">+C23+C53</f>
        <v>10484.48</v>
      </c>
      <c r="D54" s="21">
        <f t="shared" si="2"/>
        <v>-8639.9500000000007</v>
      </c>
      <c r="E54" s="21">
        <f t="shared" si="2"/>
        <v>92044.35000000002</v>
      </c>
      <c r="F54" s="21">
        <f t="shared" si="2"/>
        <v>13154.649999999998</v>
      </c>
      <c r="G54" s="21">
        <f t="shared" si="2"/>
        <v>-45299.270000000004</v>
      </c>
      <c r="H54" s="21">
        <f t="shared" si="2"/>
        <v>8404.5299999999988</v>
      </c>
      <c r="I54" s="21">
        <f t="shared" si="2"/>
        <v>26724.18</v>
      </c>
      <c r="J54" s="21">
        <f t="shared" si="2"/>
        <v>-146.12</v>
      </c>
      <c r="K54" s="22"/>
      <c r="L54" s="21">
        <f>+SUM(B54:J54)</f>
        <v>106061.75</v>
      </c>
    </row>
    <row r="55" spans="1:12" ht="15.75" thickBot="1" x14ac:dyDescent="0.3">
      <c r="A55" s="23" t="s">
        <v>3</v>
      </c>
      <c r="B55" s="24">
        <f>B2+B54</f>
        <v>396438.91000000003</v>
      </c>
      <c r="C55" s="24">
        <f>+B55+C54</f>
        <v>406923.39</v>
      </c>
      <c r="D55" s="24">
        <f t="shared" ref="D55:J55" si="3">+C55+D54</f>
        <v>398283.44</v>
      </c>
      <c r="E55" s="24">
        <f t="shared" si="3"/>
        <v>490327.79000000004</v>
      </c>
      <c r="F55" s="24">
        <f t="shared" si="3"/>
        <v>503482.44000000006</v>
      </c>
      <c r="G55" s="24">
        <f t="shared" si="3"/>
        <v>458183.17000000004</v>
      </c>
      <c r="H55" s="24">
        <f t="shared" si="3"/>
        <v>466587.70000000007</v>
      </c>
      <c r="I55" s="24">
        <f t="shared" si="3"/>
        <v>493311.88000000006</v>
      </c>
      <c r="J55" s="24">
        <f t="shared" si="3"/>
        <v>493165.76000000007</v>
      </c>
      <c r="K55" s="6"/>
      <c r="L55" s="24">
        <f>+B2+L54</f>
        <v>493165.76</v>
      </c>
    </row>
  </sheetData>
  <phoneticPr fontId="10" type="noConversion"/>
  <conditionalFormatting sqref="B55:K5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L5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B26 B10 B16 B28 B2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37B9-04FD-48FA-8920-8D8265AA253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5747-8126-4B1E-BDFA-D93FC5C5DEF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AC6D-540A-4664-8B1B-F7FEB7D3BBF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6F6D-EB54-4AD3-81A0-CC80B9DBED7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DETAILS</vt:lpstr>
      <vt:lpstr>DONS</vt:lpstr>
      <vt:lpstr>SUBVENTIONS</vt:lpstr>
      <vt:lpstr>TAXES</vt:lpstr>
      <vt:lpstr>GRAPHIQUE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FASSIRY DIAWARA (X180611)</dc:creator>
  <cp:lastModifiedBy>FASSIRY DIAWARA (X180611)</cp:lastModifiedBy>
  <dcterms:created xsi:type="dcterms:W3CDTF">2022-09-12T20:55:34Z</dcterms:created>
  <dcterms:modified xsi:type="dcterms:W3CDTF">2022-09-12T23:38:03Z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aa69c8-0478-4e13-9e4c-38511e3b6774_Enabled">
    <vt:lpwstr>true</vt:lpwstr>
  </property>
  <property fmtid="{D5CDD505-2E9C-101B-9397-08002B2CF9AE}" pid="3" name="MSIP_Label_1aaa69c8-0478-4e13-9e4c-38511e3b6774_SetDate">
    <vt:lpwstr>2022-09-12T23:37:45Z</vt:lpwstr>
  </property>
  <property fmtid="{D5CDD505-2E9C-101B-9397-08002B2CF9AE}" pid="4" name="MSIP_Label_1aaa69c8-0478-4e13-9e4c-38511e3b6774_Method">
    <vt:lpwstr>Privileged</vt:lpwstr>
  </property>
  <property fmtid="{D5CDD505-2E9C-101B-9397-08002B2CF9AE}" pid="5" name="MSIP_Label_1aaa69c8-0478-4e13-9e4c-38511e3b6774_Name">
    <vt:lpwstr>1aaa69c8-0478-4e13-9e4c-38511e3b6774</vt:lpwstr>
  </property>
  <property fmtid="{D5CDD505-2E9C-101B-9397-08002B2CF9AE}" pid="6" name="MSIP_Label_1aaa69c8-0478-4e13-9e4c-38511e3b6774_SiteId">
    <vt:lpwstr>c9a7d621-4bc4-4407-b730-f428e656aa9e</vt:lpwstr>
  </property>
  <property fmtid="{D5CDD505-2E9C-101B-9397-08002B2CF9AE}" pid="7" name="MSIP_Label_1aaa69c8-0478-4e13-9e4c-38511e3b6774_ActionId">
    <vt:lpwstr>e9c53bf5-3363-4255-baa8-a7fe3ee19a98</vt:lpwstr>
  </property>
  <property fmtid="{D5CDD505-2E9C-101B-9397-08002B2CF9AE}" pid="8" name="MSIP_Label_1aaa69c8-0478-4e13-9e4c-38511e3b6774_ContentBits">
    <vt:lpwstr>0</vt:lpwstr>
  </property>
</Properties>
</file>