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rojects/ddiaz/Analysis/Scripts/rsconnect/shinyapps.io/neuromast_homeostasis_scRNAseq_2018/data/"/>
    </mc:Choice>
  </mc:AlternateContent>
  <xr:revisionPtr revIDLastSave="0" documentId="13_ncr:1_{B8293D3B-8191-F248-B192-C0A802729C97}" xr6:coauthVersionLast="34" xr6:coauthVersionMax="34" xr10:uidLastSave="{00000000-0000-0000-0000-000000000000}"/>
  <bookViews>
    <workbookView xWindow="3200" yWindow="460" windowWidth="25600" windowHeight="17540" activeTab="1" xr2:uid="{00000000-000D-0000-FFFF-FFFF00000000}"/>
  </bookViews>
  <sheets>
    <sheet name="marker.table" sheetId="1" r:id="rId1"/>
    <sheet name="README" sheetId="2" r:id="rId2"/>
  </sheets>
  <calcPr calcId="179017"/>
</workbook>
</file>

<file path=xl/calcChain.xml><?xml version="1.0" encoding="utf-8"?>
<calcChain xmlns="http://schemas.openxmlformats.org/spreadsheetml/2006/main">
  <c r="J3303" i="1" l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<sst xmlns="http://schemas.openxmlformats.org/spreadsheetml/2006/main" count="13166" uniqueCount="6424">
  <si>
    <t>p_val</t>
  </si>
  <si>
    <t>avg_logFC</t>
  </si>
  <si>
    <t>pct.1</t>
  </si>
  <si>
    <t>pct.2</t>
  </si>
  <si>
    <t>p_val_adj</t>
  </si>
  <si>
    <t>cluster</t>
  </si>
  <si>
    <t>Gene.name.uniq</t>
  </si>
  <si>
    <t>Ensembl.Gene.ID</t>
  </si>
  <si>
    <t>Associated.Gene.Name</t>
  </si>
  <si>
    <t>ZFIN.ID</t>
  </si>
  <si>
    <t>Description</t>
  </si>
  <si>
    <t>si:dkey-229d2.7</t>
  </si>
  <si>
    <t>ENSDARG00000092460</t>
  </si>
  <si>
    <t>si:dkey-229d2.7 [Source:ZFIN;Acc:ZDB-GENE-060526-265]</t>
  </si>
  <si>
    <t>tmc2b</t>
  </si>
  <si>
    <t>ENSDARG00000030311</t>
  </si>
  <si>
    <t>transmembrane channel-like 2b [Source:ZFIN;Acc:ZDB-GENE-060526-262]</t>
  </si>
  <si>
    <t>si:ch211-193l2.10</t>
  </si>
  <si>
    <t>ENSDARG00000099903</t>
  </si>
  <si>
    <t>si:ch211-193l2.10 [Source:ZFIN;Acc:ZDB-GENE-160114-52]</t>
  </si>
  <si>
    <t>nptna</t>
  </si>
  <si>
    <t>ENSDARG00000103002</t>
  </si>
  <si>
    <t>neuroplastin a [Source:ZFIN;Acc:ZDB-GENE-030804-7]</t>
  </si>
  <si>
    <t>cpn1.2</t>
  </si>
  <si>
    <t>ENSDARG00000096728</t>
  </si>
  <si>
    <t>cpn1</t>
  </si>
  <si>
    <t>carboxypeptidase N, polypeptide 1 [Source:ZFIN;Acc:ZDB-GENE-030131-9116]</t>
  </si>
  <si>
    <t>C11orf1</t>
  </si>
  <si>
    <t>ENSDARG00000101743</t>
  </si>
  <si>
    <t>chromosome 11 open reading frame 1 [Source:HGNC Symbol;Acc:HGNC:1163]</t>
  </si>
  <si>
    <t>si:ch211-163l21.7</t>
  </si>
  <si>
    <t>ENSDARG00000034457</t>
  </si>
  <si>
    <t>si:ch211-163l21.7 [Source:ZFIN;Acc:ZDB-GENE-081105-176]</t>
  </si>
  <si>
    <t>dnajc5b</t>
  </si>
  <si>
    <t>ENSDARG00000058147</t>
  </si>
  <si>
    <t>DnaJ (Hsp40) homolog, subfamily C, member 5 beta [Source:ZFIN;Acc:ZDB-GENE-050413-1]</t>
  </si>
  <si>
    <t>daw1</t>
  </si>
  <si>
    <t>ENSDARG00000021462</t>
  </si>
  <si>
    <t>dynein assembly factor with WDR repeat domains 1 [Source:ZFIN;Acc:ZDB-GENE-050419-255]</t>
  </si>
  <si>
    <t>aldocb</t>
  </si>
  <si>
    <t>ENSDARG00000019702</t>
  </si>
  <si>
    <t>aldolase C, fructose-bisphosphate, b [Source:ZFIN;Acc:ZDB-GENE-030821-1]</t>
  </si>
  <si>
    <t>enkur</t>
  </si>
  <si>
    <t>ENSDARG00000031248</t>
  </si>
  <si>
    <t>enkurin, TRPC channel interacting protein [Source:ZFIN;Acc:ZDB-GENE-070718-1]</t>
  </si>
  <si>
    <t>tekt1</t>
  </si>
  <si>
    <t>ENSDARG00000101331</t>
  </si>
  <si>
    <t>tektin 1 [Source:ZFIN;Acc:ZDB-GENE-041114-99]</t>
  </si>
  <si>
    <t>si:dkey-16m19.1</t>
  </si>
  <si>
    <t>ENSDARG00000097176</t>
  </si>
  <si>
    <t>EMB</t>
  </si>
  <si>
    <t>ENSDARG00000059485</t>
  </si>
  <si>
    <t>si:ch211-261c8.5 [Source:ZFIN;Acc:ZDB-GENE-070705-158]</t>
  </si>
  <si>
    <t>tmprss3a</t>
  </si>
  <si>
    <t>ENSDARG00000053315</t>
  </si>
  <si>
    <t>transmembrane protease, serine 3a [Source:ZFIN;Acc:ZDB-GENE-070912-70]</t>
  </si>
  <si>
    <t>lhfpl5b</t>
  </si>
  <si>
    <t>ENSDARG00000056458</t>
  </si>
  <si>
    <t>lipoma HMGIC fusion partner-like 5b [Source:ZFIN;Acc:ZDB-GENE-080220-51]</t>
  </si>
  <si>
    <t>si:dkeyp-46h3.1</t>
  </si>
  <si>
    <t>ENSDARG00000094407</t>
  </si>
  <si>
    <t>sh3glb2b</t>
  </si>
  <si>
    <t>ENSDARG00000035470</t>
  </si>
  <si>
    <t>SH3-domain GRB2-like endophilin B2b [Source:ZFIN;Acc:ZDB-GENE-040426-833]</t>
  </si>
  <si>
    <t>spa17</t>
  </si>
  <si>
    <t>ENSDARG00000069361</t>
  </si>
  <si>
    <t>sperm autoantigenic protein 17 [Source:ZFIN;Acc:ZDB-GENE-061027-337]</t>
  </si>
  <si>
    <t>osbpl1a</t>
  </si>
  <si>
    <t>ENSDARG00000105147</t>
  </si>
  <si>
    <t>oxysterol binding protein-like 1A [Source:ZFIN;Acc:ZDB-GENE-050208-657]</t>
  </si>
  <si>
    <t>tescb</t>
  </si>
  <si>
    <t>ENSDARG00000030839</t>
  </si>
  <si>
    <t>tescalcin b [Source:ZFIN;Acc:ZDB-GENE-040426-1903]</t>
  </si>
  <si>
    <t>tspan13b</t>
  </si>
  <si>
    <t>ENSDARG00000070479</t>
  </si>
  <si>
    <t>tetraspanin 13b [Source:ZFIN;Acc:ZDB-GENE-041010-45]</t>
  </si>
  <si>
    <t>CD37</t>
  </si>
  <si>
    <t>ENSDARG00000075515</t>
  </si>
  <si>
    <t>zgc:171713 [Source:ZFIN;Acc:ZDB-GENE-070820-17]</t>
  </si>
  <si>
    <t>smpx</t>
  </si>
  <si>
    <t>ENSDARG00000045302</t>
  </si>
  <si>
    <t>small muscle protein, X-linked [Source:ZFIN;Acc:ZDB-GENE-040704-24]</t>
  </si>
  <si>
    <t>kif1aa</t>
  </si>
  <si>
    <t>ENSDARG00000061817</t>
  </si>
  <si>
    <t>kinesin family member 1Aa [Source:ZFIN;Acc:ZDB-GENE-100913-3]</t>
  </si>
  <si>
    <t>cnot10</t>
  </si>
  <si>
    <t>ENSDARG00000058528</t>
  </si>
  <si>
    <t>CCR4-NOT transcription complex, subunit 10 [Source:ZFIN;Acc:ZDB-GENE-060929-368]</t>
  </si>
  <si>
    <t>rtn4rl2b</t>
  </si>
  <si>
    <t>ENSDARG00000037495</t>
  </si>
  <si>
    <t>reticulon 4 receptor-like 2b [Source:ZFIN;Acc:ZDB-GENE-040310-2]</t>
  </si>
  <si>
    <t>RSPH1</t>
  </si>
  <si>
    <t>ENSDARG00000102261</t>
  </si>
  <si>
    <t>radial spoke head 1 homolog (Chlamydomonas) [Source:HGNC Symbol;Acc:HGNC:12371]</t>
  </si>
  <si>
    <t>tekt4</t>
  </si>
  <si>
    <t>ENSDARG00000028899</t>
  </si>
  <si>
    <t>tektin 4 [Source:ZFIN;Acc:ZDB-GENE-070410-98]</t>
  </si>
  <si>
    <t>si:ch211-270n8.3</t>
  </si>
  <si>
    <t>ENSDARG00000093646</t>
  </si>
  <si>
    <t>si:ch211-270n8.3 [Source:ZFIN;Acc:ZDB-GENE-081028-50]</t>
  </si>
  <si>
    <t>lmo7b</t>
  </si>
  <si>
    <t>ENSDARG00000053535</t>
  </si>
  <si>
    <t>LIM domain 7b [Source:ZFIN;Acc:ZDB-GENE-060825-242]</t>
  </si>
  <si>
    <t>si:ch211-145b13.5</t>
  </si>
  <si>
    <t>ENSDARG00000037256</t>
  </si>
  <si>
    <t>si:ch211-145b13.5 [Source:ZFIN;Acc:ZDB-GENE-090313-35]</t>
  </si>
  <si>
    <t>atp6v1c2</t>
  </si>
  <si>
    <t>ENSDARG00000070440</t>
  </si>
  <si>
    <t>ATPase, H+ transporting, lysosomal, V1 subunit C2 [Source:ZFIN;Acc:ZDB-GENE-131127-65]</t>
  </si>
  <si>
    <t>pacrg</t>
  </si>
  <si>
    <t>ENSDARG00000087556</t>
  </si>
  <si>
    <t>PARK2 co-regulated [Source:ZFIN;Acc:ZDB-GENE-041114-100]</t>
  </si>
  <si>
    <t>fam228a</t>
  </si>
  <si>
    <t>ENSDARG00000042936</t>
  </si>
  <si>
    <t>family with sequence similarity 228, member A [Source:ZFIN;Acc:ZDB-GENE-041014-83]</t>
  </si>
  <si>
    <t>eef1a1b</t>
  </si>
  <si>
    <t>ENSDARG00000069951</t>
  </si>
  <si>
    <t>eukaryotic translation elongation factor 1 alpha 1b [Source:ZFIN;Acc:ZDB-GENE-050417-327]</t>
  </si>
  <si>
    <t>CABZ01067746.1</t>
  </si>
  <si>
    <t>ENSDARG00000086059</t>
  </si>
  <si>
    <t>atp1a3b</t>
  </si>
  <si>
    <t>ENSDARG00000104139</t>
  </si>
  <si>
    <t>ATPase, Na+/K+ transporting, alpha 3b polypeptide [Source:ZFIN;Acc:ZDB-GENE-001212-8]</t>
  </si>
  <si>
    <t>camk2n1a</t>
  </si>
  <si>
    <t>ENSDARG00000025855</t>
  </si>
  <si>
    <t>calcium/calmodulin-dependent protein kinase II inhibitor 1a [Source:ZFIN;Acc:ZDB-GENE-050522-319]</t>
  </si>
  <si>
    <t>spata4</t>
  </si>
  <si>
    <t>ENSDARG00000036189</t>
  </si>
  <si>
    <t>spermatogenesis associated 4 [Source:ZFIN;Acc:ZDB-GENE-050417-153]</t>
  </si>
  <si>
    <t>si:ch211-284k5.2</t>
  </si>
  <si>
    <t>ENSDARG00000101455</t>
  </si>
  <si>
    <t>si:ch211-284k5.2 [Source:ZFIN;Acc:ZDB-GENE-131127-514]</t>
  </si>
  <si>
    <t>twf2b</t>
  </si>
  <si>
    <t>ENSDARG00000009727</t>
  </si>
  <si>
    <t>twinfilin actin-binding protein 2b [Source:ZFIN;Acc:ZDB-GENE-050522-238]</t>
  </si>
  <si>
    <t>gfi1aa</t>
  </si>
  <si>
    <t>ENSDARG00000020746</t>
  </si>
  <si>
    <t>growth factor independent 1A transcription repressor a [Source:ZFIN;Acc:ZDB-GENE-050522-534]</t>
  </si>
  <si>
    <t>calml4a</t>
  </si>
  <si>
    <t>ENSDARG00000075800</t>
  </si>
  <si>
    <t>calmodulin-like 4a [Source:ZFIN;Acc:ZDB-GENE-081022-9]</t>
  </si>
  <si>
    <t>hsd17b7</t>
  </si>
  <si>
    <t>ENSDARG00000088140</t>
  </si>
  <si>
    <t>hydroxysteroid (17-beta) dehydrogenase 7 [Source:ZFIN;Acc:ZDB-GENE-061013-378]</t>
  </si>
  <si>
    <t>si:ch211-38m6.6</t>
  </si>
  <si>
    <t>ENSDARG00000076959</t>
  </si>
  <si>
    <t>si:ch211-38m6.6 [Source:ZFIN;Acc:ZDB-GENE-070705-179]</t>
  </si>
  <si>
    <t>si:ch211-147d7.5</t>
  </si>
  <si>
    <t>ENSDARG00000095457</t>
  </si>
  <si>
    <t>si:ch211-147d7.5 [Source:ZFIN;Acc:ZDB-GENE-041014-353]</t>
  </si>
  <si>
    <t>tekt3</t>
  </si>
  <si>
    <t>ENSDARG00000045038</t>
  </si>
  <si>
    <t>tektin 3 [Source:ZFIN;Acc:ZDB-GENE-080130-2]</t>
  </si>
  <si>
    <t>apba1a</t>
  </si>
  <si>
    <t>ENSDARG00000103848</t>
  </si>
  <si>
    <t>amyloid beta (A4) precursor protein-binding, family A, member 1a [Source:ZFIN;Acc:ZDB-GENE-060526-175]</t>
  </si>
  <si>
    <t>atp6v0cb</t>
  </si>
  <si>
    <t>ENSDARG00000036577</t>
  </si>
  <si>
    <t>ATPase, H+ transporting, lysosomal, V0 subunit cb [Source:ZFIN;Acc:ZDB-GENE-030131-4127]</t>
  </si>
  <si>
    <t>ccdc105</t>
  </si>
  <si>
    <t>ENSDARG00000054136</t>
  </si>
  <si>
    <t>coiled-coil domain containing 105 [Source:ZFIN;Acc:ZDB-GENE-131121-219]</t>
  </si>
  <si>
    <t>nme5</t>
  </si>
  <si>
    <t>ENSDARG00000041617</t>
  </si>
  <si>
    <t>NME/NM23 family member 5 [Source:ZFIN;Acc:ZDB-GENE-040718-221]</t>
  </si>
  <si>
    <t>srpk2</t>
  </si>
  <si>
    <t>ENSDARG00000029368</t>
  </si>
  <si>
    <t>SRSF protein kinase 2 [Source:ZFIN;Acc:ZDB-GENE-131105-1]</t>
  </si>
  <si>
    <t>si:dkey-27p23.3</t>
  </si>
  <si>
    <t>ENSDARG00000075714</t>
  </si>
  <si>
    <t>si:dkey-27p23.3 [Source:ZFIN;Acc:ZDB-GENE-070705-453]</t>
  </si>
  <si>
    <t>si:ch211-57i17.5</t>
  </si>
  <si>
    <t>ENSDARG00000041375</t>
  </si>
  <si>
    <t>si:ch211-57i17.5 [Source:ZFIN;Acc:ZDB-GENE-041014-39]</t>
  </si>
  <si>
    <t>tmem240b</t>
  </si>
  <si>
    <t>ENSDARG00000090145</t>
  </si>
  <si>
    <t>transmembrane protein 240b [Source:ZFIN;Acc:ZDB-GENE-131127-474]</t>
  </si>
  <si>
    <t>sh2d4ba</t>
  </si>
  <si>
    <t>ENSDARG00000069374</t>
  </si>
  <si>
    <t>SH2 domain containing 4Ba [Source:ZFIN;Acc:ZDB-GENE-090313-53]</t>
  </si>
  <si>
    <t>meig1</t>
  </si>
  <si>
    <t>ENSDARG00000045705</t>
  </si>
  <si>
    <t>meiosis/spermiogenesis associated 1 [Source:ZFIN;Acc:ZDB-GENE-050320-33]</t>
  </si>
  <si>
    <t>baiap2l2b</t>
  </si>
  <si>
    <t>ENSDARG00000060933</t>
  </si>
  <si>
    <t>BAI1-associated protein 2-like 2b [Source:ZFIN;Acc:ZDB-GENE-060503-339]</t>
  </si>
  <si>
    <t>osbp2</t>
  </si>
  <si>
    <t>ENSDARG00000053487</t>
  </si>
  <si>
    <t>oxysterol binding protein 2 [Source:ZFIN;Acc:ZDB-GENE-091113-18]</t>
  </si>
  <si>
    <t>evlb</t>
  </si>
  <si>
    <t>ENSDARG00000099720</t>
  </si>
  <si>
    <t>Enah/Vasp-like b [Source:ZFIN;Acc:ZDB-GENE-040426-1804]</t>
  </si>
  <si>
    <t>RASSF5</t>
  </si>
  <si>
    <t>ENSDARG00000070601</t>
  </si>
  <si>
    <t>si:dkey-85p17.3 [Source:ZFIN;Acc:ZDB-GENE-141219-8]</t>
  </si>
  <si>
    <t>si:ch73-199k24.2</t>
  </si>
  <si>
    <t>ENSDARG00000089149</t>
  </si>
  <si>
    <t>si:ch73-199k24.2 [Source:ZFIN;Acc:ZDB-GENE-131121-321]</t>
  </si>
  <si>
    <t>itm2cb</t>
  </si>
  <si>
    <t>ENSDARG00000039650</t>
  </si>
  <si>
    <t>integral membrane protein 2Cb [Source:ZFIN;Acc:ZDB-GENE-030131-7806]</t>
  </si>
  <si>
    <t>galnt11</t>
  </si>
  <si>
    <t>ENSDARG00000063636</t>
  </si>
  <si>
    <t>UDP-N-acetyl-alpha-D-galactosamine:polypeptide N-acetylgalactosaminyltransferase 11 (GalNAc-T11) [Source:ZFIN;Acc:ZDB-GENE-060929-998]</t>
  </si>
  <si>
    <t>sst6</t>
  </si>
  <si>
    <t>ENSDARG00000093804</t>
  </si>
  <si>
    <t>somatostatin 6 [Source:ZFIN;Acc:ZDB-GENE-081022-199]</t>
  </si>
  <si>
    <t>ccdc151</t>
  </si>
  <si>
    <t>ENSDARG00000062978</t>
  </si>
  <si>
    <t>coiled-coil domain containing 151 [Source:ZFIN;Acc:ZDB-GENE-061013-787]</t>
  </si>
  <si>
    <t>DCDC2C</t>
  </si>
  <si>
    <t>ENSDARG00000103264</t>
  </si>
  <si>
    <t>si:dkey-25g12.4 [Source:ZFIN;Acc:ZDB-GENE-160113-73]</t>
  </si>
  <si>
    <t>fscn2b</t>
  </si>
  <si>
    <t>ENSDARG00000074396</t>
  </si>
  <si>
    <t>fascin actin-bundling protein 2b, retinal [Source:ZFIN;Acc:ZDB-GENE-040426-1740]</t>
  </si>
  <si>
    <t>si:ch211-255p10.3</t>
  </si>
  <si>
    <t>ENSDARG00000096616</t>
  </si>
  <si>
    <t>si:ch211-255p10.3 [Source:ZFIN;Acc:ZDB-GENE-121214-339]</t>
  </si>
  <si>
    <t>atp2b1a</t>
  </si>
  <si>
    <t>ENSDARG00000012684</t>
  </si>
  <si>
    <t>ATPase, Ca++ transporting, plasma membrane 1a [Source:ZFIN;Acc:ZDB-GENE-030925-29]</t>
  </si>
  <si>
    <t>rem1</t>
  </si>
  <si>
    <t>ENSDARG00000020544</t>
  </si>
  <si>
    <t>RAS (RAD and GEM)-like GTP-binding 1 [Source:ZFIN;Acc:ZDB-GENE-040317-1]</t>
  </si>
  <si>
    <t>tpd52l1</t>
  </si>
  <si>
    <t>ENSDARG00000042548</t>
  </si>
  <si>
    <t>tumor protein D52-like 1 [Source:ZFIN;Acc:ZDB-GENE-050522-121]</t>
  </si>
  <si>
    <t>foxj1a</t>
  </si>
  <si>
    <t>ENSDARG00000101919</t>
  </si>
  <si>
    <t>forkhead box J1a [Source:ZFIN;Acc:ZDB-GENE-060929-1178]</t>
  </si>
  <si>
    <t>sncb</t>
  </si>
  <si>
    <t>ENSDARG00000104945</t>
  </si>
  <si>
    <t>synuclein, beta [Source:ZFIN;Acc:ZDB-GENE-040426-1615]</t>
  </si>
  <si>
    <t>mkrn2os.2</t>
  </si>
  <si>
    <t>ENSDARG00000100728</t>
  </si>
  <si>
    <t>MKRN2 opposite strand, tandem duplicate 2 [Source:ZFIN;Acc:ZDB-GENE-160114-87]</t>
  </si>
  <si>
    <t>abhd2b</t>
  </si>
  <si>
    <t>ENSDARG00000045804</t>
  </si>
  <si>
    <t>abhydrolase domain containing 2b [Source:ZFIN;Acc:ZDB-GENE-061027-74]</t>
  </si>
  <si>
    <t>si:ch211-150j10.4</t>
  </si>
  <si>
    <t>ENSDARG00000079336</t>
  </si>
  <si>
    <t>si:ch211-150j10.4 [Source:ZFIN;Acc:ZDB-GENE-110411-215]</t>
  </si>
  <si>
    <t>bdnf</t>
  </si>
  <si>
    <t>ENSDARG00000018817</t>
  </si>
  <si>
    <t>brain-derived neurotrophic factor [Source:ZFIN;Acc:ZDB-GENE-000412-1]</t>
  </si>
  <si>
    <t>BX511021.2</t>
  </si>
  <si>
    <t>ENSDARG00000073936</t>
  </si>
  <si>
    <t>otofb</t>
  </si>
  <si>
    <t>ENSDARG00000020581</t>
  </si>
  <si>
    <t>otoferlin b [Source:ZFIN;Acc:ZDB-GENE-110406-5]</t>
  </si>
  <si>
    <t>si:ch211-270n8.4</t>
  </si>
  <si>
    <t>ENSDARG00000094423</t>
  </si>
  <si>
    <t>si:ch211-270n8.4 [Source:ZFIN;Acc:ZDB-GENE-081028-70]</t>
  </si>
  <si>
    <t>gipc3</t>
  </si>
  <si>
    <t>ENSDARG00000053074</t>
  </si>
  <si>
    <t>GIPC PDZ domain containing family, member 3 [Source:ZFIN;Acc:ZDB-GENE-060616-326]</t>
  </si>
  <si>
    <t>clic5b</t>
  </si>
  <si>
    <t>ENSDARG00000070584</t>
  </si>
  <si>
    <t>chloride intracellular channel 5b [Source:ZFIN;Acc:ZDB-GENE-040426-2542]</t>
  </si>
  <si>
    <t>rasd1</t>
  </si>
  <si>
    <t>ENSDARG00000019274</t>
  </si>
  <si>
    <t>RAS, dexamethasone-induced 1 [Source:ZFIN;Acc:ZDB-GENE-040426-1473]</t>
  </si>
  <si>
    <t>EFCAB10</t>
  </si>
  <si>
    <t>ENSDARG00000092825</t>
  </si>
  <si>
    <t>si:dkey-42p14.3 [Source:ZFIN;Acc:ZDB-GENE-041111-13]</t>
  </si>
  <si>
    <t>ankrd45</t>
  </si>
  <si>
    <t>ENSDARG00000011326</t>
  </si>
  <si>
    <t>ankyrin repeat domain 45 [Source:ZFIN;Acc:ZDB-GENE-050522-311]</t>
  </si>
  <si>
    <t>zgc:171775</t>
  </si>
  <si>
    <t>ENSDARG00000058381</t>
  </si>
  <si>
    <t>zgc:171775 [Source:ZFIN;Acc:ZDB-GENE-030131-4309]</t>
  </si>
  <si>
    <t>cfap126</t>
  </si>
  <si>
    <t>ENSDARG00000070868</t>
  </si>
  <si>
    <t>cilia and flagella associated protein 126 [Source:ZFIN;Acc:ZDB-GENE-060825-357]</t>
  </si>
  <si>
    <t>lrrc73</t>
  </si>
  <si>
    <t>ENSDARG00000063411</t>
  </si>
  <si>
    <t>leucine rich repeat containing 73 [Source:ZFIN;Acc:ZDB-GENE-111118-2]</t>
  </si>
  <si>
    <t>cfap77</t>
  </si>
  <si>
    <t>ENSDARG00000068122</t>
  </si>
  <si>
    <t>cilia and flagella associated protein 77 [Source:ZFIN;Acc:ZDB-GENE-060526-106]</t>
  </si>
  <si>
    <t>MPV17L</t>
  </si>
  <si>
    <t>ENSDARG00000104457</t>
  </si>
  <si>
    <t>si:dkeyp-72e1.7 [Source:ZFIN;Acc:ZDB-GENE-120215-229]</t>
  </si>
  <si>
    <t>cyp39a1</t>
  </si>
  <si>
    <t>ENSDARG00000017982</t>
  </si>
  <si>
    <t>cytochrome P450, family 39, subfamily A, polypeptide 1 [Source:ZFIN;Acc:ZDB-GENE-041014-339]</t>
  </si>
  <si>
    <t>vamp2</t>
  </si>
  <si>
    <t>ENSDARG00000056877</t>
  </si>
  <si>
    <t>vesicle-associated membrane protein 2 [Source:ZFIN;Acc:ZDB-GENE-030131-8225]</t>
  </si>
  <si>
    <t>chrna9</t>
  </si>
  <si>
    <t>ENSDARG00000054680</t>
  </si>
  <si>
    <t>cholinergic receptor, nicotinic, alpha 9 [Source:ZFIN;Acc:ZDB-GENE-090312-63]</t>
  </si>
  <si>
    <t>prdm1a</t>
  </si>
  <si>
    <t>ENSDARG00000002445</t>
  </si>
  <si>
    <t>PR domain containing 1a, with ZNF domain [Source:ZFIN;Acc:ZDB-GENE-030131-2193]</t>
  </si>
  <si>
    <t>zgc:171927</t>
  </si>
  <si>
    <t>ENSDARG00000033056</t>
  </si>
  <si>
    <t>zgc:171927 [Source:ZFIN;Acc:ZDB-GENE-070822-21]</t>
  </si>
  <si>
    <t>theg</t>
  </si>
  <si>
    <t>ENSDARG00000078644</t>
  </si>
  <si>
    <t>theg spermatid protein [Source:ZFIN;Acc:ZDB-GENE-070912-59]</t>
  </si>
  <si>
    <t>rcan3</t>
  </si>
  <si>
    <t>ENSDARG00000032623</t>
  </si>
  <si>
    <t>regulator of calcineurin 3 [Source:ZFIN;Acc:ZDB-GENE-040718-445]</t>
  </si>
  <si>
    <t>gltpb</t>
  </si>
  <si>
    <t>ENSDARG00000077962</t>
  </si>
  <si>
    <t>glycolipid transfer protein b [Source:ZFIN;Acc:ZDB-GENE-091118-80]</t>
  </si>
  <si>
    <t>laptm4b</t>
  </si>
  <si>
    <t>ENSDARG00000035870</t>
  </si>
  <si>
    <t>lysosomal protein transmembrane 4 beta [Source:ZFIN;Acc:ZDB-GENE-030616-616]</t>
  </si>
  <si>
    <t>cfap45</t>
  </si>
  <si>
    <t>ENSDARG00000068103</t>
  </si>
  <si>
    <t>cilia and flagella associated protein 45 [Source:ZFIN;Acc:ZDB-GENE-070209-143]</t>
  </si>
  <si>
    <t>pou4f1</t>
  </si>
  <si>
    <t>ENSDARG00000005559</t>
  </si>
  <si>
    <t>POU class 4 homeobox 1 [Source:ZFIN;Acc:ZDB-GENE-000523-2]</t>
  </si>
  <si>
    <t>CU856539.4</t>
  </si>
  <si>
    <t>ENSDARG00000090886</t>
  </si>
  <si>
    <t>dnali1</t>
  </si>
  <si>
    <t>ENSDARG00000069815</t>
  </si>
  <si>
    <t>dynein, axonemal, light intermediate chain 1 [Source:ZFIN;Acc:ZDB-GENE-080204-7]</t>
  </si>
  <si>
    <t>tuba1a</t>
  </si>
  <si>
    <t>ENSDARG00000001889</t>
  </si>
  <si>
    <t>tubulin, alpha 1a [Source:ZFIN;Acc:ZDB-GENE-090507-4]</t>
  </si>
  <si>
    <t>si:ch211-172l8.4</t>
  </si>
  <si>
    <t>ENSDARG00000101577</t>
  </si>
  <si>
    <t>si:ch211-172l8.4 [Source:ZFIN;Acc:ZDB-GENE-131127-224]</t>
  </si>
  <si>
    <t>DYNLRB2</t>
  </si>
  <si>
    <t>ENSDARG00000089952</t>
  </si>
  <si>
    <t>si:ch211-147k9.8 [Source:ZFIN;Acc:ZDB-GENE-120709-101]</t>
  </si>
  <si>
    <t>tuba1c</t>
  </si>
  <si>
    <t>ENSDARG00000055216</t>
  </si>
  <si>
    <t>tubulin, alpha 1c [Source:ZFIN;Acc:ZDB-GENE-061114-1]</t>
  </si>
  <si>
    <t>si:dkey-280e21.3</t>
  </si>
  <si>
    <t>ENSDARG00000056519</t>
  </si>
  <si>
    <t>si:dkey-280e21.3 [Source:ZFIN;Acc:ZDB-GENE-140106-61]</t>
  </si>
  <si>
    <t>atp1b2b</t>
  </si>
  <si>
    <t>ENSDARG00000034424</t>
  </si>
  <si>
    <t>ATPase, Na+/K+ transporting, beta 2b polypeptide [Source:ZFIN;Acc:ZDB-GENE-010718-1]</t>
  </si>
  <si>
    <t>ribc2</t>
  </si>
  <si>
    <t>ENSDARG00000075177</t>
  </si>
  <si>
    <t>RIB43A domain with coiled-coils 2 [Source:ZFIN;Acc:ZDB-GENE-050411-27]</t>
  </si>
  <si>
    <t>CFAP99</t>
  </si>
  <si>
    <t>ENSDARG00000097485</t>
  </si>
  <si>
    <t>cilia and flagella associated protein 99 [Source:HGNC Symbol;Acc:HGNC:51180]</t>
  </si>
  <si>
    <t>PIFO</t>
  </si>
  <si>
    <t>ENSDARG00000097071</t>
  </si>
  <si>
    <t>si:ch211-66i15.4 [Source:ZFIN;Acc:ZDB-GENE-090313-121]</t>
  </si>
  <si>
    <t>zgc:113691</t>
  </si>
  <si>
    <t>ENSDARG00000038898</t>
  </si>
  <si>
    <t>zgc:113691 [Source:ZFIN;Acc:ZDB-GENE-050220-7]</t>
  </si>
  <si>
    <t>gdi1</t>
  </si>
  <si>
    <t>ENSDARG00000056122</t>
  </si>
  <si>
    <t>GDP dissociation inhibitor 1 [Source:ZFIN;Acc:ZDB-GENE-050522-504]</t>
  </si>
  <si>
    <t>ap3m2</t>
  </si>
  <si>
    <t>ENSDARG00000016128</t>
  </si>
  <si>
    <t>adaptor-related protein complex 3, mu 2 subunit [Source:ZFIN;Acc:ZDB-GENE-021022-2]</t>
  </si>
  <si>
    <t>erich3</t>
  </si>
  <si>
    <t>ENSDARG00000069262</t>
  </si>
  <si>
    <t>glutamate-rich 3 [Source:ZFIN;Acc:ZDB-GENE-070209-295]</t>
  </si>
  <si>
    <t>scg5.1</t>
  </si>
  <si>
    <t>ENSDARG00000077045</t>
  </si>
  <si>
    <t>scg5</t>
  </si>
  <si>
    <t>secretogranin V [Source:ZFIN;Acc:ZDB-GENE-040426-1687]</t>
  </si>
  <si>
    <t>sema7a</t>
  </si>
  <si>
    <t>ENSDARG00000078707</t>
  </si>
  <si>
    <t>semaphorin 7A [Source:ZFIN;Acc:ZDB-GENE-030131-3633]</t>
  </si>
  <si>
    <t>rdh12</t>
  </si>
  <si>
    <t>ENSDARG00000018069</t>
  </si>
  <si>
    <t>retinol dehydrogenase 12 (all-trans/9-cis/11-cis) [Source:ZFIN;Acc:ZDB-GENE-040718-9]</t>
  </si>
  <si>
    <t>rbm24a</t>
  </si>
  <si>
    <t>ENSDARG00000102995</t>
  </si>
  <si>
    <t>RNA binding motif protein 24a [Source:ZFIN;Acc:ZDB-GENE-040628-1]</t>
  </si>
  <si>
    <t>cfap52</t>
  </si>
  <si>
    <t>ENSDARG00000101679</t>
  </si>
  <si>
    <t>cilia and flagella associated protein 52 [Source:ZFIN;Acc:ZDB-GENE-050522-296]</t>
  </si>
  <si>
    <t>zgc:153142</t>
  </si>
  <si>
    <t>ENSDARG00000069363</t>
  </si>
  <si>
    <t>zgc:153142 [Source:ZFIN;Acc:ZDB-GENE-061013-507]</t>
  </si>
  <si>
    <t>si:dkey-16p21.8</t>
  </si>
  <si>
    <t>ENSDARG00000096849</t>
  </si>
  <si>
    <t>si:dkey-16p21.8 [Source:ZFIN;Acc:ZDB-GENE-131121-428]</t>
  </si>
  <si>
    <t>rprma</t>
  </si>
  <si>
    <t>ENSDARG00000053383</t>
  </si>
  <si>
    <t>reprimo, TP53 dependent G2 arrest mediator candidate a [Source:ZFIN;Acc:ZDB-GENE-050522-218]</t>
  </si>
  <si>
    <t>eno1a</t>
  </si>
  <si>
    <t>ENSDARG00000022456</t>
  </si>
  <si>
    <t>enolase 1a, (alpha) [Source:ZFIN;Acc:ZDB-GENE-030131-6048]</t>
  </si>
  <si>
    <t>cdcp2</t>
  </si>
  <si>
    <t>ENSDARG00000075866</t>
  </si>
  <si>
    <t>CUB domain containing protein 2 [Source:ZFIN;Acc:ZDB-GENE-070705-485]</t>
  </si>
  <si>
    <t>arpp21</t>
  </si>
  <si>
    <t>ENSDARG00000061081</t>
  </si>
  <si>
    <t>cAMP-regulated phosphoprotein, 21 [Source:ZFIN;Acc:ZDB-GENE-081104-296]</t>
  </si>
  <si>
    <t>PLPP1</t>
  </si>
  <si>
    <t>ENSDARG00000053381</t>
  </si>
  <si>
    <t>si:ch73-96j23.1 [Source:ZFIN;Acc:ZDB-GENE-141219-44]</t>
  </si>
  <si>
    <t>asap1b</t>
  </si>
  <si>
    <t>ENSDARG00000039729</t>
  </si>
  <si>
    <t>ArfGAP with SH3 domain, ankyrin repeat and PH domain 1b [Source:ZFIN;Acc:ZDB-GENE-091112-16]</t>
  </si>
  <si>
    <t>fam166b</t>
  </si>
  <si>
    <t>ENSDARG00000100292</t>
  </si>
  <si>
    <t>family with sequence similarity 166, member B [Source:ZFIN;Acc:ZDB-GENE-070209-41]</t>
  </si>
  <si>
    <t>ift27</t>
  </si>
  <si>
    <t>ENSDARG00000099279</t>
  </si>
  <si>
    <t>intraflagellar transport 27 homolog (Chlamydomonas) [Source:ZFIN;Acc:ZDB-GENE-041212-9]</t>
  </si>
  <si>
    <t>ccdc173</t>
  </si>
  <si>
    <t>ENSDARG00000077928</t>
  </si>
  <si>
    <t>coiled-coil domain containing 173 [Source:ZFIN;Acc:ZDB-GENE-081104-457]</t>
  </si>
  <si>
    <t>catip</t>
  </si>
  <si>
    <t>ENSDARG00000063009</t>
  </si>
  <si>
    <t>ciliogenesis associated TTC17 interacting protein [Source:ZFIN;Acc:ZDB-GENE-060929-1170]</t>
  </si>
  <si>
    <t>twf2a</t>
  </si>
  <si>
    <t>ENSDARG00000094792</t>
  </si>
  <si>
    <t>twinfilin actin-binding protein 2a [Source:ZFIN;Acc:ZDB-GENE-030131-7638]</t>
  </si>
  <si>
    <t>efhc1</t>
  </si>
  <si>
    <t>ENSDARG00000009743</t>
  </si>
  <si>
    <t>EF-hand domain (C-terminal) containing 1 [Source:ZFIN;Acc:ZDB-GENE-040426-1300]</t>
  </si>
  <si>
    <t>hsbp1a</t>
  </si>
  <si>
    <t>ENSDARG00000069425</t>
  </si>
  <si>
    <t>heat shock factor binding protein 1a [Source:ZFIN;Acc:ZDB-GENE-050320-136]</t>
  </si>
  <si>
    <t>htra1b</t>
  </si>
  <si>
    <t>ENSDARG00000014907</t>
  </si>
  <si>
    <t>HtrA serine peptidase 1b [Source:ZFIN;Acc:ZDB-GENE-080219-7]</t>
  </si>
  <si>
    <t>adipor2</t>
  </si>
  <si>
    <t>ENSDARG00000101849</t>
  </si>
  <si>
    <t>adiponectin receptor 2 [Source:ZFIN;Acc:ZDB-GENE-041210-60]</t>
  </si>
  <si>
    <t>slc30a10</t>
  </si>
  <si>
    <t>ENSDARG00000103983</t>
  </si>
  <si>
    <t>solute carrier family 30, member 10 [Source:ZFIN;Acc:ZDB-GENE-060608-2]</t>
  </si>
  <si>
    <t>kcnma1a</t>
  </si>
  <si>
    <t>ENSDARG00000079840</t>
  </si>
  <si>
    <t>potassium large conductance calcium-activated channel, subfamily M, alpha member 1a [Source:ZFIN;Acc:ZDB-GENE-070202-9]</t>
  </si>
  <si>
    <t>IQCA1L</t>
  </si>
  <si>
    <t>ENSDARG00000069230</t>
  </si>
  <si>
    <t>zgc:153738 [Source:ZFIN;Acc:ZDB-GENE-061013-622]</t>
  </si>
  <si>
    <t>ccdc40</t>
  </si>
  <si>
    <t>ENSDARG00000100584</t>
  </si>
  <si>
    <t>coiled-coil domain containing 40 [Source:ZFIN;Acc:ZDB-GENE-060503-723]</t>
  </si>
  <si>
    <t>si:dkey-71b5.6.1</t>
  </si>
  <si>
    <t>ENSDARG00000098861</t>
  </si>
  <si>
    <t>si:dkey-71b5.6</t>
  </si>
  <si>
    <t>si:dkey-71b5.6 [Source:EntrezGene;Acc:100294632]</t>
  </si>
  <si>
    <t>iqcg</t>
  </si>
  <si>
    <t>ENSDARG00000068678</t>
  </si>
  <si>
    <t>IQ motif containing G [Source:ZFIN;Acc:ZDB-GENE-050419-109]</t>
  </si>
  <si>
    <t>baiap2l2a</t>
  </si>
  <si>
    <t>ENSDARG00000016483</t>
  </si>
  <si>
    <t>BAI1-associated protein 2-like 2a [Source:ZFIN;Acc:ZDB-GENE-040108-10]</t>
  </si>
  <si>
    <t>ribc1</t>
  </si>
  <si>
    <t>ENSDARG00000055739</t>
  </si>
  <si>
    <t>RIB43A domain with coiled-coils 1 [Source:ZFIN;Acc:ZDB-GENE-081031-7]</t>
  </si>
  <si>
    <t>cdh8</t>
  </si>
  <si>
    <t>ENSDARG00000037478</t>
  </si>
  <si>
    <t>cadherin 8 [Source:ZFIN;Acc:ZDB-GENE-130530-597]</t>
  </si>
  <si>
    <t>axdnd1</t>
  </si>
  <si>
    <t>ENSDARG00000062355</t>
  </si>
  <si>
    <t>axonemal dynein light chain domain containing 1 [Source:ZFIN;Acc:ZDB-GENE-050208-341]</t>
  </si>
  <si>
    <t>anxa5a</t>
  </si>
  <si>
    <t>ENSDARG00000026406</t>
  </si>
  <si>
    <t>annexin A5a [Source:ZFIN;Acc:ZDB-GENE-080220-29]</t>
  </si>
  <si>
    <t>rnasekb</t>
  </si>
  <si>
    <t>ENSDARG00000104458</t>
  </si>
  <si>
    <t>ribonuclease, RNase K b [Source:ZFIN;Acc:ZDB-GENE-060825-160]</t>
  </si>
  <si>
    <t>si:ch211-57h10.1</t>
  </si>
  <si>
    <t>ENSDARG00000088753</t>
  </si>
  <si>
    <t>si:ch211-57h10.1 [Source:ZFIN;Acc:ZDB-GENE-060526-173]</t>
  </si>
  <si>
    <t>rsph9</t>
  </si>
  <si>
    <t>ENSDARG00000017355</t>
  </si>
  <si>
    <t>radial spoke head 9 homolog [Source:ZFIN;Acc:ZDB-GENE-051120-129]</t>
  </si>
  <si>
    <t>grxcr1</t>
  </si>
  <si>
    <t>ENSDARG00000069865</t>
  </si>
  <si>
    <t>glutaredoxin, cysteine rich 1 [Source:ZFIN;Acc:ZDB-GENE-070424-166]</t>
  </si>
  <si>
    <t>amph</t>
  </si>
  <si>
    <t>ENSDARG00000007663</t>
  </si>
  <si>
    <t>amphiphysin [Source:ZFIN;Acc:ZDB-GENE-040426-1711]</t>
  </si>
  <si>
    <t>got1l1</t>
  </si>
  <si>
    <t>ENSDARG00000053644</t>
  </si>
  <si>
    <t>glutamic-oxaloacetic transaminase 1-like 1 [Source:ZFIN;Acc:ZDB-GENE-060929-556]</t>
  </si>
  <si>
    <t>si:dkeyp-110e4.11</t>
  </si>
  <si>
    <t>ENSDARG00000071585</t>
  </si>
  <si>
    <t>si:dkeyp-110e4.11 [Source:ZFIN;Acc:ZDB-GENE-070424-267]</t>
  </si>
  <si>
    <t>cabp2b</t>
  </si>
  <si>
    <t>ENSDARG00000052277</t>
  </si>
  <si>
    <t>calcium binding protein 2b [Source:ZFIN;Acc:ZDB-GENE-081028-55]</t>
  </si>
  <si>
    <t>si:dkey-43k4.3</t>
  </si>
  <si>
    <t>ENSDARG00000052428</t>
  </si>
  <si>
    <t>si:dkey-43k4.3 [Source:ZFIN;Acc:ZDB-GENE-120215-146]</t>
  </si>
  <si>
    <t>zgc:153146</t>
  </si>
  <si>
    <t>ENSDARG00000037142</t>
  </si>
  <si>
    <t>zgc:153146 [Source:ZFIN;Acc:ZDB-GENE-060825-339]</t>
  </si>
  <si>
    <t>slitrk4</t>
  </si>
  <si>
    <t>ENSDARG00000079781</t>
  </si>
  <si>
    <t>SLIT and NTRK-like family, member 4 [Source:ZFIN;Acc:ZDB-GENE-140303-1]</t>
  </si>
  <si>
    <t>ccdc114</t>
  </si>
  <si>
    <t>ENSDARG00000015010</t>
  </si>
  <si>
    <t>coiled-coil domain containing 114 [Source:ZFIN;Acc:ZDB-GENE-041114-110]</t>
  </si>
  <si>
    <t>si:dkeyp-82a1.8</t>
  </si>
  <si>
    <t>ENSDARG00000095539</t>
  </si>
  <si>
    <t>si:dkeyp-82a1.8 [Source:ZFIN;Acc:ZDB-GENE-081104-479]</t>
  </si>
  <si>
    <t>otofa</t>
  </si>
  <si>
    <t>ENSDARG00000030832</t>
  </si>
  <si>
    <t>otoferlin a [Source:ZFIN;Acc:ZDB-GENE-030131-7778]</t>
  </si>
  <si>
    <t>tbata</t>
  </si>
  <si>
    <t>ENSDARG00000067831</t>
  </si>
  <si>
    <t>thymus, brain and testes associated [Source:ZFIN;Acc:ZDB-GENE-121030-4]</t>
  </si>
  <si>
    <t>hsp90aa1.2</t>
  </si>
  <si>
    <t>ENSDARG00000024746</t>
  </si>
  <si>
    <t>heat shock protein 90, alpha (cytosolic), class A member 1, tandem duplicate 2 [Source:ZFIN;Acc:ZDB-GENE-031001-3]</t>
  </si>
  <si>
    <t>CCDC189</t>
  </si>
  <si>
    <t>ENSDARG00000096777</t>
  </si>
  <si>
    <t>si:ch73-81k8.2 [Source:ZFIN;Acc:ZDB-GENE-130531-20]</t>
  </si>
  <si>
    <t>xrra1</t>
  </si>
  <si>
    <t>ENSDARG00000089578</t>
  </si>
  <si>
    <t>X-ray radiation resistance associated 1 [Source:ZFIN;Acc:ZDB-GENE-101216-2]</t>
  </si>
  <si>
    <t>klhdc7a</t>
  </si>
  <si>
    <t>ENSDARG00000105322</t>
  </si>
  <si>
    <t>kelch domain containing 7A [Source:ZFIN;Acc:ZDB-GENE-160114-44]</t>
  </si>
  <si>
    <t>myo6b</t>
  </si>
  <si>
    <t>ENSDARG00000042141</t>
  </si>
  <si>
    <t>myosin VIb [Source:ZFIN;Acc:ZDB-GENE-030318-3]</t>
  </si>
  <si>
    <t>gpx1b</t>
  </si>
  <si>
    <t>ENSDARG00000006207</t>
  </si>
  <si>
    <t>glutathione peroxidase 1b [Source:ZFIN;Acc:ZDB-GENE-040912-60]</t>
  </si>
  <si>
    <t>cfap58</t>
  </si>
  <si>
    <t>ENSDARG00000069435</t>
  </si>
  <si>
    <t>cilia and flagella associated protein 58 [Source:ZFIN;Acc:ZDB-GENE-060929-128]</t>
  </si>
  <si>
    <t>OSCP1</t>
  </si>
  <si>
    <t>ENSDARG00000101888</t>
  </si>
  <si>
    <t>organic solute carrier partner 1 [Source:HGNC Symbol;Acc:HGNC:29971]</t>
  </si>
  <si>
    <t>si:dkeyp-122d12.1</t>
  </si>
  <si>
    <t>ENSDARG00000096684</t>
  </si>
  <si>
    <t>si:dkeyp-122d12.1 [Source:ZFIN;Acc:ZDB-GENE-131126-80]</t>
  </si>
  <si>
    <t>slc44a2</t>
  </si>
  <si>
    <t>ENSDARG00000037059</t>
  </si>
  <si>
    <t>solute carrier family 44 (choline transporter), member 2 [Source:ZFIN;Acc:ZDB-GENE-030131-3065]</t>
  </si>
  <si>
    <t>elovl4b</t>
  </si>
  <si>
    <t>ENSDARG00000027495</t>
  </si>
  <si>
    <t>ELOVL fatty acid elongase 4b [Source:ZFIN;Acc:ZDB-GENE-030131-7672]</t>
  </si>
  <si>
    <t>capsla</t>
  </si>
  <si>
    <t>ENSDARG00000103521</t>
  </si>
  <si>
    <t>calcyphosine-like a [Source:ZFIN;Acc:ZDB-GENE-030131-7291]</t>
  </si>
  <si>
    <t>rab11fip1b</t>
  </si>
  <si>
    <t>ENSDARG00000036462</t>
  </si>
  <si>
    <t>RAB11 family interacting protein 1 (class I) b [Source:ZFIN;Acc:ZDB-GENE-091204-322]</t>
  </si>
  <si>
    <t>AP3B2</t>
  </si>
  <si>
    <t>ENSDARG00000105296</t>
  </si>
  <si>
    <t>adaptor related protein complex 3, beta 2 subunit [Source:HGNC Symbol;Acc:HGNC:567]</t>
  </si>
  <si>
    <t>tpi1a</t>
  </si>
  <si>
    <t>ENSDARG00000025012</t>
  </si>
  <si>
    <t>triosephosphate isomerase 1a [Source:ZFIN;Acc:ZDB-GENE-020416-3]</t>
  </si>
  <si>
    <t>abcb5</t>
  </si>
  <si>
    <t>ENSDARG00000021787</t>
  </si>
  <si>
    <t>ATP-binding cassette, sub-family B (MDR/TAP), member 5 [Source:ZFIN;Acc:ZDB-GENE-030131-6414]</t>
  </si>
  <si>
    <t>phtf2</t>
  </si>
  <si>
    <t>ENSDARG00000102123</t>
  </si>
  <si>
    <t>putative homeodomain transcription factor 2 [Source:ZFIN;Acc:ZDB-GENE-040711-4]</t>
  </si>
  <si>
    <t>wbp2</t>
  </si>
  <si>
    <t>ENSDARG00000056605</t>
  </si>
  <si>
    <t>WW domain binding protein 2 [Source:ZFIN;Acc:ZDB-GENE-050522-137]</t>
  </si>
  <si>
    <t>adipor1a</t>
  </si>
  <si>
    <t>ENSDARG00000002912</t>
  </si>
  <si>
    <t>adiponectin receptor 1a [Source:ZFIN;Acc:ZDB-GENE-040718-169]</t>
  </si>
  <si>
    <t>efcab2</t>
  </si>
  <si>
    <t>ENSDARG00000074323</t>
  </si>
  <si>
    <t>EF-hand calcium binding domain 2 [Source:ZFIN;Acc:ZDB-GENE-070521-5]</t>
  </si>
  <si>
    <t>atp2b2</t>
  </si>
  <si>
    <t>ENSDARG00000063433</t>
  </si>
  <si>
    <t>ATPase, Ca++ transporting, plasma membrane 2 [Source:ZFIN;Acc:ZDB-GENE-061016-1]</t>
  </si>
  <si>
    <t>barhl1a</t>
  </si>
  <si>
    <t>ENSDARG00000035508</t>
  </si>
  <si>
    <t>BarH-like homeobox 1a [Source:ZFIN;Acc:ZDB-GENE-050417-212]</t>
  </si>
  <si>
    <t>skor1a</t>
  </si>
  <si>
    <t>ENSDARG00000069030</t>
  </si>
  <si>
    <t>SKI family transcriptional corepressor 1a [Source:ZFIN;Acc:ZDB-GENE-080722-5]</t>
  </si>
  <si>
    <t>gstp2</t>
  </si>
  <si>
    <t>ENSDARG00000103019</t>
  </si>
  <si>
    <t>glutathione S-transferase pi 2 [Source:ZFIN;Acc:ZDB-GENE-050601-1]</t>
  </si>
  <si>
    <t>lrriq1</t>
  </si>
  <si>
    <t>ENSDARG00000093781</t>
  </si>
  <si>
    <t>leucine-rich repeats and IQ motif containing 1 [Source:ZFIN;Acc:ZDB-GENE-050419-235]</t>
  </si>
  <si>
    <t>spata18</t>
  </si>
  <si>
    <t>ENSDARG00000052343</t>
  </si>
  <si>
    <t>spermatogenesis associated 18 [Source:ZFIN;Acc:ZDB-GENE-050522-306]</t>
  </si>
  <si>
    <t>klhl30</t>
  </si>
  <si>
    <t>ENSDARG00000076094</t>
  </si>
  <si>
    <t>kelch-like family member 30 [Source:ZFIN;Acc:ZDB-GENE-100913-2]</t>
  </si>
  <si>
    <t>trim36</t>
  </si>
  <si>
    <t>ENSDARG00000062794</t>
  </si>
  <si>
    <t>tripartite motif containing 36 [Source:ZFIN;Acc:ZDB-GENE-040426-2936]</t>
  </si>
  <si>
    <t>bcl2b</t>
  </si>
  <si>
    <t>ENSDARG00000089109</t>
  </si>
  <si>
    <t>B-cell CLL/lymphoma 2b [Source:ZFIN;Acc:ZDB-GENE-110411-185]</t>
  </si>
  <si>
    <t>si:ch211-248e11.2</t>
  </si>
  <si>
    <t>ENSDARG00000058940</t>
  </si>
  <si>
    <t>si:ch211-248e11.2 [Source:ZFIN;Acc:ZDB-GENE-081104-197]</t>
  </si>
  <si>
    <t>zgc:198419</t>
  </si>
  <si>
    <t>ENSDARG00000076221</t>
  </si>
  <si>
    <t>zgc:198419 [Source:ZFIN;Acc:ZDB-GENE-030131-7540]</t>
  </si>
  <si>
    <t>tmem178b</t>
  </si>
  <si>
    <t>ENSDARG00000006747</t>
  </si>
  <si>
    <t>transmembrane protein 178B [Source:ZFIN;Acc:ZDB-GENE-040718-92]</t>
  </si>
  <si>
    <t>morn3</t>
  </si>
  <si>
    <t>ENSDARG00000021697</t>
  </si>
  <si>
    <t>MORN repeat containing 3 [Source:ZFIN;Acc:ZDB-GENE-050417-152]</t>
  </si>
  <si>
    <t>necap1</t>
  </si>
  <si>
    <t>ENSDARG00000020798</t>
  </si>
  <si>
    <t>NECAP endocytosis associated 1 [Source:ZFIN;Acc:ZDB-GENE-040426-1682]</t>
  </si>
  <si>
    <t>rsph14</t>
  </si>
  <si>
    <t>ENSDARG00000017983</t>
  </si>
  <si>
    <t>radial spoke head 14 homolog (Chlamydomonas) [Source:ZFIN;Acc:ZDB-GENE-081104-375]</t>
  </si>
  <si>
    <t>upf3a</t>
  </si>
  <si>
    <t>ENSDARG00000069297</t>
  </si>
  <si>
    <t>UPF3 regulator of nonsense transcripts homolog A (yeast) [Source:ZFIN;Acc:ZDB-GENE-060721-2]</t>
  </si>
  <si>
    <t>atp6v0a1a</t>
  </si>
  <si>
    <t>ENSDARG00000020847</t>
  </si>
  <si>
    <t>ATPase, H+ transporting, lysosomal V0 subunit a1a [Source:ZFIN;Acc:ZDB-GENE-030131-3027]</t>
  </si>
  <si>
    <t>atl1</t>
  </si>
  <si>
    <t>ENSDARG00000060481</t>
  </si>
  <si>
    <t>atlastin GTPase 1 [Source:ZFIN;Acc:ZDB-GENE-030131-8003]</t>
  </si>
  <si>
    <t>si:dkey-70b23.2</t>
  </si>
  <si>
    <t>ENSDARG00000093783</t>
  </si>
  <si>
    <t>si:dkey-70b23.2 [Source:ZFIN;Acc:ZDB-GENE-100922-241]</t>
  </si>
  <si>
    <t>arl6ip5b</t>
  </si>
  <si>
    <t>ENSDARG00000016238</t>
  </si>
  <si>
    <t>ADP-ribosylation factor-like 6 interacting protein 5b [Source:ZFIN;Acc:ZDB-GENE-040718-223]</t>
  </si>
  <si>
    <t>dnal1</t>
  </si>
  <si>
    <t>ENSDARG00000034042</t>
  </si>
  <si>
    <t>dynein, axonemal, light chain 1 [Source:ZFIN;Acc:ZDB-GENE-040801-178]</t>
  </si>
  <si>
    <t>atp6v1c1b</t>
  </si>
  <si>
    <t>ENSDARG00000035880</t>
  </si>
  <si>
    <t>ATPase, H+ transporting, lysosomal, V1 subunit C1b [Source:ZFIN;Acc:ZDB-GENE-041010-104]</t>
  </si>
  <si>
    <t>tctex1d2</t>
  </si>
  <si>
    <t>ENSDARG00000054255</t>
  </si>
  <si>
    <t>Tctex1 domain containing 2 [Source:ZFIN;Acc:ZDB-GENE-081104-219]</t>
  </si>
  <si>
    <t>capslb</t>
  </si>
  <si>
    <t>ENSDARG00000003414</t>
  </si>
  <si>
    <t>calcyphosine-like b [Source:ZFIN;Acc:ZDB-GENE-050417-298]</t>
  </si>
  <si>
    <t>cfap53</t>
  </si>
  <si>
    <t>ENSDARG00000100892</t>
  </si>
  <si>
    <t>cilia and flagella associated protein 53 [Source:ZFIN;Acc:ZDB-GENE-060503-508]</t>
  </si>
  <si>
    <t>loxhd1b</t>
  </si>
  <si>
    <t>ENSDARG00000074638</t>
  </si>
  <si>
    <t>lipoxygenase homology domains 1b [Source:ZFIN;Acc:ZDB-GENE-081104-370]</t>
  </si>
  <si>
    <t>akap1a</t>
  </si>
  <si>
    <t>ENSDARG00000089802</t>
  </si>
  <si>
    <t>A kinase (PRKA) anchor protein 1a [Source:ZFIN;Acc:ZDB-GENE-030131-5980]</t>
  </si>
  <si>
    <t>iqub</t>
  </si>
  <si>
    <t>ENSDARG00000061899</t>
  </si>
  <si>
    <t>IQ motif and ubiquitin domain containing [Source:ZFIN;Acc:ZDB-GENE-110421-1]</t>
  </si>
  <si>
    <t>tmc2a</t>
  </si>
  <si>
    <t>ENSDARG00000033104</t>
  </si>
  <si>
    <t>transmembrane channel-like 2a [Source:ZFIN;Acc:ZDB-GENE-060526-280]</t>
  </si>
  <si>
    <t>morn2</t>
  </si>
  <si>
    <t>ENSDARG00000071360</t>
  </si>
  <si>
    <t>MORN repeat containing 2 [Source:ZFIN;Acc:ZDB-GENE-060825-230]</t>
  </si>
  <si>
    <t>isca2</t>
  </si>
  <si>
    <t>ENSDARG00000038154</t>
  </si>
  <si>
    <t>iron-sulfur cluster assembly 2 [Source:ZFIN;Acc:ZDB-GENE-131121-486]</t>
  </si>
  <si>
    <t>fam43a</t>
  </si>
  <si>
    <t>ENSDARG00000043009</t>
  </si>
  <si>
    <t>family with sequence similarity 43, member A [Source:ZFIN;Acc:ZDB-GENE-030131-6098]</t>
  </si>
  <si>
    <t>armc4</t>
  </si>
  <si>
    <t>ENSDARG00000055128</t>
  </si>
  <si>
    <t>armadillo repeat containing 4 [Source:ZFIN;Acc:ZDB-GENE-100316-7]</t>
  </si>
  <si>
    <t>ppp1r42</t>
  </si>
  <si>
    <t>ENSDARG00000057632</t>
  </si>
  <si>
    <t>protein phosphatase 1, regulatory subunit 42 [Source:ZFIN;Acc:ZDB-GENE-040704-43]</t>
  </si>
  <si>
    <t>atp6v1e1b</t>
  </si>
  <si>
    <t>ENSDARG00000030694</t>
  </si>
  <si>
    <t>ATPase, H+ transporting, lysosomal, V1 subunit E1b [Source:ZFIN;Acc:ZDB-GENE-020419-11]</t>
  </si>
  <si>
    <t>clta</t>
  </si>
  <si>
    <t>ENSDARG00000045618</t>
  </si>
  <si>
    <t>clathrin, light chain A [Source:ZFIN;Acc:ZDB-GENE-040426-1986]</t>
  </si>
  <si>
    <t>cspp1a</t>
  </si>
  <si>
    <t>ENSDARG00000100236</t>
  </si>
  <si>
    <t>centrosome and spindle pole associated protein 1a [Source:ZFIN;Acc:ZDB-GENE-120709-73]</t>
  </si>
  <si>
    <t>ndufa4</t>
  </si>
  <si>
    <t>ENSDARG00000056108</t>
  </si>
  <si>
    <t>NADH dehydrogenase (ubiquinone) 1 alpha subcomplex, 4 [Source:ZFIN;Acc:ZDB-GENE-040426-1962]</t>
  </si>
  <si>
    <t>slitrk2</t>
  </si>
  <si>
    <t>ENSDARG00000006636</t>
  </si>
  <si>
    <t>SLIT and NTRK-like family, member 2 [Source:ZFIN;Acc:ZDB-GENE-080327-7]</t>
  </si>
  <si>
    <t>tekt2</t>
  </si>
  <si>
    <t>ENSDARG00000028973</t>
  </si>
  <si>
    <t>tektin 2 (testicular) [Source:ZFIN;Acc:ZDB-GENE-040113-1]</t>
  </si>
  <si>
    <t>stc2a</t>
  </si>
  <si>
    <t>ENSDARG00000056680</t>
  </si>
  <si>
    <t>stanniocalcin 2a [Source:ZFIN;Acc:ZDB-GENE-041008-14]</t>
  </si>
  <si>
    <t>grtp1a</t>
  </si>
  <si>
    <t>ENSDARG00000029936</t>
  </si>
  <si>
    <t>growth hormone regulated TBC protein 1a [Source:ZFIN;Acc:ZDB-GENE-040426-2733]</t>
  </si>
  <si>
    <t>ppil6</t>
  </si>
  <si>
    <t>ENSDARG00000042157</t>
  </si>
  <si>
    <t>peptidylprolyl isomerase (cyclophilin)-like 6 [Source:ZFIN;Acc:ZDB-GENE-050522-70]</t>
  </si>
  <si>
    <t>armc3</t>
  </si>
  <si>
    <t>ENSDARG00000074708</t>
  </si>
  <si>
    <t>armadillo repeat containing 3 [Source:ZFIN;Acc:ZDB-GENE-110614-1]</t>
  </si>
  <si>
    <t>triobpa</t>
  </si>
  <si>
    <t>ENSDARG00000075870</t>
  </si>
  <si>
    <t>TRIO and F-actin binding protein a [Source:ZFIN;Acc:ZDB-GENE-110411-40]</t>
  </si>
  <si>
    <t>drc3</t>
  </si>
  <si>
    <t>ENSDARG00000041300</t>
  </si>
  <si>
    <t>dynein regulatory complex subunit 3 [Source:ZFIN;Acc:ZDB-GENE-061103-349]</t>
  </si>
  <si>
    <t>myo3a</t>
  </si>
  <si>
    <t>ENSDARG00000010186</t>
  </si>
  <si>
    <t>myosin IIIA [Source:ZFIN;Acc:ZDB-GENE-041026-4]</t>
  </si>
  <si>
    <t>pvalb8</t>
  </si>
  <si>
    <t>ENSDARG00000037790</t>
  </si>
  <si>
    <t>parvalbumin 8 [Source:ZFIN;Acc:ZDB-GENE-030805-3]</t>
  </si>
  <si>
    <t>ccdc103</t>
  </si>
  <si>
    <t>ENSDARG00000053455</t>
  </si>
  <si>
    <t>coiled-coil domain containing 103 [Source:ZFIN;Acc:ZDB-GENE-040718-253]</t>
  </si>
  <si>
    <t>fam131c</t>
  </si>
  <si>
    <t>ENSDARG00000037320</t>
  </si>
  <si>
    <t>family with sequence similarity 131, member C [Source:ZFIN;Acc:ZDB-GENE-050706-119]</t>
  </si>
  <si>
    <t>si:dkeyp-50b9.1</t>
  </si>
  <si>
    <t>ENSDARG00000097421</t>
  </si>
  <si>
    <t>si:dkeyp-50b9.1 [Source:ZFIN;Acc:ZDB-GENE-131127-254]</t>
  </si>
  <si>
    <t>CABZ01085857.1</t>
  </si>
  <si>
    <t>ENSDARG00000069867</t>
  </si>
  <si>
    <t>zgc:109934</t>
  </si>
  <si>
    <t>ENSDARG00000094210</t>
  </si>
  <si>
    <t>zgc:109934 [Source:ZFIN;Acc:ZDB-GENE-050522-428]</t>
  </si>
  <si>
    <t>gstp1</t>
  </si>
  <si>
    <t>ENSDARG00000104068</t>
  </si>
  <si>
    <t>glutathione S-transferase pi 1 [Source:ZFIN;Acc:ZDB-GENE-020806-4]</t>
  </si>
  <si>
    <t>galnt9</t>
  </si>
  <si>
    <t>ENSDARG00000006832</t>
  </si>
  <si>
    <t>polypeptide N-acetylgalactosaminyltransferase 9 [Source:ZFIN;Acc:ZDB-GENE-060526-21]</t>
  </si>
  <si>
    <t>armc2</t>
  </si>
  <si>
    <t>ENSDARG00000022660</t>
  </si>
  <si>
    <t>armadillo repeat containing 2 [Source:ZFIN;Acc:ZDB-GENE-041014-7]</t>
  </si>
  <si>
    <t>FSIP1</t>
  </si>
  <si>
    <t>ENSDARG00000104620</t>
  </si>
  <si>
    <t>fibrous sheath interacting protein 1 [Source:HGNC Symbol;Acc:HGNC:21674]</t>
  </si>
  <si>
    <t>gpr156</t>
  </si>
  <si>
    <t>ENSDARG00000086215</t>
  </si>
  <si>
    <t>G protein-coupled receptor 156 [Source:ZFIN;Acc:ZDB-GENE-060201-2]</t>
  </si>
  <si>
    <t>calm1a</t>
  </si>
  <si>
    <t>ENSDARG00000021811</t>
  </si>
  <si>
    <t>calmodulin 1a [Source:ZFIN;Acc:ZDB-GENE-030131-8308]</t>
  </si>
  <si>
    <t>ak8</t>
  </si>
  <si>
    <t>ENSDARG00000030961</t>
  </si>
  <si>
    <t>adenylate kinase 8 [Source:ZFIN;Acc:ZDB-GENE-050522-275]</t>
  </si>
  <si>
    <t>si:ch211-235m3.10</t>
  </si>
  <si>
    <t>ENSDARG00000097665</t>
  </si>
  <si>
    <t>si:ch211-235m3.10 [Source:ZFIN;Acc:ZDB-GENE-131127-468]</t>
  </si>
  <si>
    <t>calm1b</t>
  </si>
  <si>
    <t>ENSDARG00000034187</t>
  </si>
  <si>
    <t>calmodulin 1b [Source:ZFIN;Acc:ZDB-GENE-030804-2]</t>
  </si>
  <si>
    <t>klhl26</t>
  </si>
  <si>
    <t>ENSDARG00000053876</t>
  </si>
  <si>
    <t>kelch-like family member 26 [Source:ZFIN;Acc:ZDB-GENE-030131-5975]</t>
  </si>
  <si>
    <t>nrxn3b</t>
  </si>
  <si>
    <t>ENSDARG00000062693</t>
  </si>
  <si>
    <t>neurexin 3b [Source:ZFIN;Acc:ZDB-GENE-070206-10]</t>
  </si>
  <si>
    <t>si:ch211-243g18.2</t>
  </si>
  <si>
    <t>ENSDARG00000044261</t>
  </si>
  <si>
    <t>si:ch211-243g18.2 [Source:ZFIN;Acc:ZDB-GENE-030131-2830]</t>
  </si>
  <si>
    <t>clic5a</t>
  </si>
  <si>
    <t>ENSDARG00000075993</t>
  </si>
  <si>
    <t>chloride intracellular channel 5a [Source:ZFIN;Acc:ZDB-GENE-041114-84]</t>
  </si>
  <si>
    <t>zgc:154006</t>
  </si>
  <si>
    <t>ENSDARG00000061797</t>
  </si>
  <si>
    <t>zgc:154006 [Source:ZFIN;Acc:ZDB-GENE-061013-134]</t>
  </si>
  <si>
    <t>slc17a8</t>
  </si>
  <si>
    <t>ENSDARG00000057728</t>
  </si>
  <si>
    <t>solute carrier family 17 (vesicular glutamate transporter), member 8 [Source:ZFIN;Acc:ZDB-GENE-060503-416]</t>
  </si>
  <si>
    <t>spata6l</t>
  </si>
  <si>
    <t>ENSDARG00000004874</t>
  </si>
  <si>
    <t>spermatogenesis associated 6-like [Source:ZFIN;Acc:ZDB-GENE-040426-1369]</t>
  </si>
  <si>
    <t>hif1aa</t>
  </si>
  <si>
    <t>ENSDARG00000006181</t>
  </si>
  <si>
    <t>hypoxia inducible factor 1, alpha subunit (basic helix-loop-helix transcription factor) a [Source:ZFIN;Acc:ZDB-GENE-080917-55]</t>
  </si>
  <si>
    <t>KNCN</t>
  </si>
  <si>
    <t>ENSDARG00000101899</t>
  </si>
  <si>
    <t>si:dkey-225f23.3 [Source:ZFIN;Acc:ZDB-GENE-070705-385]</t>
  </si>
  <si>
    <t>capga</t>
  </si>
  <si>
    <t>ENSDARG00000035560</t>
  </si>
  <si>
    <t>capping protein (actin filament), gelsolin-like a [Source:ZFIN;Acc:ZDB-GENE-060531-6]</t>
  </si>
  <si>
    <t>spag6</t>
  </si>
  <si>
    <t>ENSDARG00000020158</t>
  </si>
  <si>
    <t>sperm associated antigen 6 [Source:ZFIN;Acc:ZDB-GENE-040704-53]</t>
  </si>
  <si>
    <t>atp6ap1a</t>
  </si>
  <si>
    <t>ENSDARG00000041417</t>
  </si>
  <si>
    <t>ATPase, H+ transporting, lysosomal accessory protein 1a [Source:ZFIN;Acc:ZDB-GENE-090312-136]</t>
  </si>
  <si>
    <t>ttll6</t>
  </si>
  <si>
    <t>ENSDARG00000054023</t>
  </si>
  <si>
    <t>tubulin tyrosine ligase-like family, member 6 [Source:ZFIN;Acc:ZDB-GENE-080107-1]</t>
  </si>
  <si>
    <t>TSTD1</t>
  </si>
  <si>
    <t>ENSDARG00000071567</t>
  </si>
  <si>
    <t>si:dkey-34l15.1 [Source:ZFIN;Acc:ZDB-GENE-081107-63]</t>
  </si>
  <si>
    <t>prdx2</t>
  </si>
  <si>
    <t>ENSDARG00000025350</t>
  </si>
  <si>
    <t>peroxiredoxin 2 [Source:ZFIN;Acc:ZDB-GENE-030326-2]</t>
  </si>
  <si>
    <t>si:ch73-111k22.3</t>
  </si>
  <si>
    <t>ENSDARG00000103492</t>
  </si>
  <si>
    <t>si:ch73-111k22.3 [Source:ZFIN;Acc:ZDB-GENE-141212-371]</t>
  </si>
  <si>
    <t>epcam</t>
  </si>
  <si>
    <t>ENSDARG00000040534</t>
  </si>
  <si>
    <t>epithelial cell adhesion molecule [Source:ZFIN;Acc:ZDB-GENE-040426-2209]</t>
  </si>
  <si>
    <t>roraa</t>
  </si>
  <si>
    <t>ENSDARG00000031768</t>
  </si>
  <si>
    <t>RAR-related orphan receptor A, paralog a [Source:ZFIN;Acc:ZDB-GENE-060306-2]</t>
  </si>
  <si>
    <t>fancg</t>
  </si>
  <si>
    <t>ENSDARG00000024967</t>
  </si>
  <si>
    <t>Fanconi anemia, complementation group G [Source:ZFIN;Acc:ZDB-GENE-050417-103]</t>
  </si>
  <si>
    <t>s100s</t>
  </si>
  <si>
    <t>ENSDARG00000036773</t>
  </si>
  <si>
    <t>S100 calcium binding protein S [Source:ZFIN;Acc:ZDB-GENE-040822-31]</t>
  </si>
  <si>
    <t>eef1a1l1</t>
  </si>
  <si>
    <t>ENSDARG00000020850</t>
  </si>
  <si>
    <t>eukaryotic translation elongation factor 1 alpha 1, like 1 [Source:ZFIN;Acc:ZDB-GENE-990415-52]</t>
  </si>
  <si>
    <t>c10h21orf59</t>
  </si>
  <si>
    <t>ENSDARG00000035332</t>
  </si>
  <si>
    <t>c10h21orf59 homolog (H. sapiens) [Source:ZFIN;Acc:ZDB-GENE-040930-8]</t>
  </si>
  <si>
    <t>si:dkey-151g10.6</t>
  </si>
  <si>
    <t>ENSDARG00000092807</t>
  </si>
  <si>
    <t>si:dkey-151g10.6 [Source:ZFIN;Acc:ZDB-GENE-030131-7528]</t>
  </si>
  <si>
    <t>cldnb</t>
  </si>
  <si>
    <t>ENSDARG00000009544</t>
  </si>
  <si>
    <t>claudin b [Source:ZFIN;Acc:ZDB-GENE-010328-2]</t>
  </si>
  <si>
    <t>pygmb</t>
  </si>
  <si>
    <t>ENSDARG00000013317</t>
  </si>
  <si>
    <t>phosphorylase, glycogen, muscle b [Source:ZFIN;Acc:ZDB-GENE-040426-1206]</t>
  </si>
  <si>
    <t>CU469384.1</t>
  </si>
  <si>
    <t>ENSDARG00000103312</t>
  </si>
  <si>
    <t>ak7b</t>
  </si>
  <si>
    <t>ENSDARG00000017023</t>
  </si>
  <si>
    <t>adenylate kinase 7b [Source:ZFIN;Acc:ZDB-GENE-050309-170]</t>
  </si>
  <si>
    <t>si:ch73-57f22.5</t>
  </si>
  <si>
    <t>ENSDARG00000098046</t>
  </si>
  <si>
    <t>si:ch73-57f22.5 [Source:ZFIN;Acc:ZDB-GENE-131120-165]</t>
  </si>
  <si>
    <t>nt5c2l1</t>
  </si>
  <si>
    <t>ENSDARG00000034852</t>
  </si>
  <si>
    <t>5'-nucleotidase, cytosolic II, like 1 [Source:ZFIN;Acc:ZDB-GENE-031006-8]</t>
  </si>
  <si>
    <t>pbx3b</t>
  </si>
  <si>
    <t>ENSDARG00000013615</t>
  </si>
  <si>
    <t>pre-B-cell leukemia homeobox 3b [Source:ZFIN;Acc:ZDB-GENE-000405-3]</t>
  </si>
  <si>
    <t>ENSDARG00000032126</t>
  </si>
  <si>
    <t>si:ch211-262i1.2</t>
  </si>
  <si>
    <t>ENSDARG00000100639</t>
  </si>
  <si>
    <t>si:ch211-262i1.2 [Source:ZFIN;Acc:ZDB-GENE-141216-186]</t>
  </si>
  <si>
    <t>bcat2</t>
  </si>
  <si>
    <t>ENSDARG00000054849</t>
  </si>
  <si>
    <t>branched chain amino-acid transaminase 2, mitochondrial [Source:ZFIN;Acc:ZDB-GENE-040718-425]</t>
  </si>
  <si>
    <t>atp6v0e1</t>
  </si>
  <si>
    <t>ENSDARG00000101794</t>
  </si>
  <si>
    <t>ATPase, H+ transporting, lysosomal V0 subunit e1 [Source:ZFIN;Acc:ZDB-GENE-041010-133]</t>
  </si>
  <si>
    <t>s100t</t>
  </si>
  <si>
    <t>ENSDARG00000055589</t>
  </si>
  <si>
    <t>S100 calcium binding protein T [Source:ZFIN;Acc:ZDB-GENE-050320-61]</t>
  </si>
  <si>
    <t>zgc:158343</t>
  </si>
  <si>
    <t>ENSDARG00000099411</t>
  </si>
  <si>
    <t>zgc:158343 [Source:ZFIN;Acc:ZDB-GENE-061201-9]</t>
  </si>
  <si>
    <t>dlg1</t>
  </si>
  <si>
    <t>ENSDARG00000009677</t>
  </si>
  <si>
    <t>discs, large homolog 1 (Drosophila) [Source:ZFIN;Acc:ZDB-GENE-010724-8]</t>
  </si>
  <si>
    <t>si:dkey-205h13.2</t>
  </si>
  <si>
    <t>ENSDARG00000089429</t>
  </si>
  <si>
    <t>si:dkey-205h13.2 [Source:ZFIN;Acc:ZDB-GENE-080225-18]</t>
  </si>
  <si>
    <t>si:rp71-1c10.11</t>
  </si>
  <si>
    <t>ENSDARG00000096721</t>
  </si>
  <si>
    <t>si:rp71-1c10.11 [Source:ZFIN;Acc:ZDB-GENE-130603-61]</t>
  </si>
  <si>
    <t>AKAP14</t>
  </si>
  <si>
    <t>ENSDARG00000105458</t>
  </si>
  <si>
    <t>si:dkeyp-81f3.4 [Source:ZFIN;Acc:ZDB-GENE-160113-129]</t>
  </si>
  <si>
    <t>nme7</t>
  </si>
  <si>
    <t>ENSDARG00000056193</t>
  </si>
  <si>
    <t>NME/NM23 family member 7 [Source:ZFIN;Acc:ZDB-GENE-000210-35]</t>
  </si>
  <si>
    <t>acsbg2</t>
  </si>
  <si>
    <t>ENSDARG00000004094</t>
  </si>
  <si>
    <t>acyl-CoA synthetase bubblegum family member 2 [Source:ZFIN;Acc:ZDB-GENE-030131-7099]</t>
  </si>
  <si>
    <t>plekhb2</t>
  </si>
  <si>
    <t>ENSDARG00000013928</t>
  </si>
  <si>
    <t>pleckstrin homology domain containing, family B (evectins) member 2 [Source:ZFIN;Acc:ZDB-GENE-040426-754]</t>
  </si>
  <si>
    <t>C7orf72</t>
  </si>
  <si>
    <t>ENSDARG00000100901</t>
  </si>
  <si>
    <t>chromosome 7 open reading frame 72 [Source:HGNC Symbol;Acc:HGNC:22564]</t>
  </si>
  <si>
    <t>cfap100</t>
  </si>
  <si>
    <t>ENSDARG00000038538</t>
  </si>
  <si>
    <t>cilia and flagella associated protein 100 [Source:ZFIN;Acc:ZDB-GENE-060929-352]</t>
  </si>
  <si>
    <t>zgc:173593</t>
  </si>
  <si>
    <t>ENSDARG00000077360</t>
  </si>
  <si>
    <t>zgc:173593 [Source:ZFIN;Acc:ZDB-GENE-071004-57]</t>
  </si>
  <si>
    <t>gapdhs</t>
  </si>
  <si>
    <t>ENSDARG00000039914</t>
  </si>
  <si>
    <t>glyceraldehyde-3-phosphate dehydrogenase, spermatogenic [Source:ZFIN;Acc:ZDB-GENE-020913-1]</t>
  </si>
  <si>
    <t>si:dkeyp-72h1.1</t>
  </si>
  <si>
    <t>ENSDARG00000095347</t>
  </si>
  <si>
    <t>si:dkeyp-72h1.1 [Source:ZFIN;Acc:ZDB-GENE-050208-447]</t>
  </si>
  <si>
    <t>efhc2</t>
  </si>
  <si>
    <t>ENSDARG00000004204</t>
  </si>
  <si>
    <t>EF-hand domain (C-terminal) containing 2 [Source:ZFIN;Acc:ZDB-GENE-031001-10]</t>
  </si>
  <si>
    <t>ap1s2</t>
  </si>
  <si>
    <t>ENSDARG00000058504</t>
  </si>
  <si>
    <t>adaptor-related protein complex 1, sigma 2 subunit [Source:ZFIN;Acc:ZDB-GENE-030131-5448]</t>
  </si>
  <si>
    <t>si:ch211-93n23.7</t>
  </si>
  <si>
    <t>ENSDARG00000089552</t>
  </si>
  <si>
    <t>si:ch211-93n23.7 [Source:ZFIN;Acc:ZDB-GENE-141222-51]</t>
  </si>
  <si>
    <t>spsb4a</t>
  </si>
  <si>
    <t>ENSDARG00000016084</t>
  </si>
  <si>
    <t>splA/ryanodine receptor domain and SOCS box containing 4a [Source:ZFIN;Acc:ZDB-GENE-070911-3]</t>
  </si>
  <si>
    <t>si:dkey-100n19.2</t>
  </si>
  <si>
    <t>ENSDARG00000075206</t>
  </si>
  <si>
    <t>si:dkey-100n19.2 [Source:ZFIN;Acc:ZDB-GENE-120711-2]</t>
  </si>
  <si>
    <t>slc24a3</t>
  </si>
  <si>
    <t>ENSDARG00000006760</t>
  </si>
  <si>
    <t>solute carrier family 24 (sodium/potassium/calcium exchanger), member 3 [Source:ZFIN;Acc:ZDB-GENE-090312-67]</t>
  </si>
  <si>
    <t>lrtomt</t>
  </si>
  <si>
    <t>ENSDARG00000040668</t>
  </si>
  <si>
    <t>leucine rich transmembrane and O-methyltransferase domain containing [Source:ZFIN;Acc:ZDB-GENE-060929-962]</t>
  </si>
  <si>
    <t>rplp1</t>
  </si>
  <si>
    <t>ENSDARG00000021864</t>
  </si>
  <si>
    <t>ribosomal protein, large, P1 [Source:ZFIN;Acc:ZDB-GENE-030131-8663]</t>
  </si>
  <si>
    <t>DNAH10</t>
  </si>
  <si>
    <t>ENSDARG00000061486</t>
  </si>
  <si>
    <t>si:dkeyp-86b9.1 [Source:ZFIN;Acc:ZDB-GENE-060531-163]</t>
  </si>
  <si>
    <t>ccsapa</t>
  </si>
  <si>
    <t>ENSDARG00000025325</t>
  </si>
  <si>
    <t>centriole, cilia and spindle-associated protein a [Source:ZFIN;Acc:ZDB-GENE-111116-1]</t>
  </si>
  <si>
    <t>nqo1</t>
  </si>
  <si>
    <t>ENSDARG00000010250</t>
  </si>
  <si>
    <t>NAD(P)H dehydrogenase, quinone 1 [Source:ZFIN;Acc:ZDB-GENE-030131-1226]</t>
  </si>
  <si>
    <t>gnai1</t>
  </si>
  <si>
    <t>ENSDARG00000021647</t>
  </si>
  <si>
    <t>guanine nucleotide binding protein (G protein), alpha inhibiting activity polypeptide 1 [Source:ZFIN;Acc:ZDB-GENE-040426-1310]</t>
  </si>
  <si>
    <t>oxr1b</t>
  </si>
  <si>
    <t>ENSDARG00000063310</t>
  </si>
  <si>
    <t>oxidation resistance 1b [Source:ZFIN;Acc:ZDB-GENE-030131-2438]</t>
  </si>
  <si>
    <t>si:ch211-212o1.2</t>
  </si>
  <si>
    <t>ENSDARG00000011498</t>
  </si>
  <si>
    <t>si:ch211-212o1.2 [Source:ZFIN;Acc:ZDB-GENE-041111-310]</t>
  </si>
  <si>
    <t>si:ch211-198b3.4</t>
  </si>
  <si>
    <t>ENSDARG00000089110</t>
  </si>
  <si>
    <t>si:ch211-198b3.4 [Source:ZFIN;Acc:ZDB-GENE-121119-1]</t>
  </si>
  <si>
    <t>dnah5</t>
  </si>
  <si>
    <t>ENSDARG00000087373</t>
  </si>
  <si>
    <t>dynein, axonemal, heavy chain 5 [Source:ZFIN;Acc:ZDB-GENE-110411-177]</t>
  </si>
  <si>
    <t>ip6k2a</t>
  </si>
  <si>
    <t>ENSDARG00000008310</t>
  </si>
  <si>
    <t>inositol hexakisphosphate kinase 2a [Source:ZFIN;Acc:ZDB-GENE-030131-760]</t>
  </si>
  <si>
    <t>atp6v1aa</t>
  </si>
  <si>
    <t>ENSDARG00000034534</t>
  </si>
  <si>
    <t>ATPase, H+ transporting, lysosomal, V1 subunit Aa [Source:ZFIN;Acc:ZDB-GENE-040426-1143]</t>
  </si>
  <si>
    <t>cd164l2</t>
  </si>
  <si>
    <t>ENSDARG00000096327</t>
  </si>
  <si>
    <t>CD164 sialomucin-like 2 [Source:ZFIN;Acc:ZDB-GENE-120215-174]</t>
  </si>
  <si>
    <t>dpysl3</t>
  </si>
  <si>
    <t>ENSDARG00000002587</t>
  </si>
  <si>
    <t>dihydropyrimidinase-like 3 [Source:ZFIN;Acc:ZDB-GENE-050720-2]</t>
  </si>
  <si>
    <t>ap3d1</t>
  </si>
  <si>
    <t>ENSDARG00000071424</t>
  </si>
  <si>
    <t>adaptor-related protein complex 3, delta 1 subunit [Source:ZFIN;Acc:ZDB-GENE-050208-437]</t>
  </si>
  <si>
    <t>tmie</t>
  </si>
  <si>
    <t>ENSDARG00000069423</t>
  </si>
  <si>
    <t>transmembrane inner ear [Source:ZFIN;Acc:ZDB-GENE-061207-9]</t>
  </si>
  <si>
    <t>btf3l4</t>
  </si>
  <si>
    <t>ENSDARG00000089681</t>
  </si>
  <si>
    <t>basic transcription factor 3-like 4 [Source:ZFIN;Acc:ZDB-GENE-040426-1650]</t>
  </si>
  <si>
    <t>tmem107l</t>
  </si>
  <si>
    <t>ENSDARG00000088398</t>
  </si>
  <si>
    <t>transmembrane protein 107 like [Source:ZFIN;Acc:ZDB-GENE-090313-269]</t>
  </si>
  <si>
    <t>CABZ01020207.1</t>
  </si>
  <si>
    <t>ENSDARG00000086724</t>
  </si>
  <si>
    <t>zgc:193811</t>
  </si>
  <si>
    <t>ENSDARG00000076745</t>
  </si>
  <si>
    <t>zgc:193811 [Source:ZFIN;Acc:ZDB-GENE-081022-43]</t>
  </si>
  <si>
    <t>si:ch73-103b9.2</t>
  </si>
  <si>
    <t>ENSDARG00000092489</t>
  </si>
  <si>
    <t>si:ch73-103b9.2 [Source:ZFIN;Acc:ZDB-GENE-070705-199]</t>
  </si>
  <si>
    <t>si:ch1073-288h17.2</t>
  </si>
  <si>
    <t>ENSDARG00000099405</t>
  </si>
  <si>
    <t>si:ch1073-288h17.2 [Source:ZFIN;Acc:ZDB-GENE-131121-285]</t>
  </si>
  <si>
    <t>mycbp</t>
  </si>
  <si>
    <t>ENSDARG00000091001</t>
  </si>
  <si>
    <t>c-myc binding protein [Source:ZFIN;Acc:ZDB-GENE-060331-97]</t>
  </si>
  <si>
    <t>cx28.8</t>
  </si>
  <si>
    <t>ENSDARG00000071042</t>
  </si>
  <si>
    <t>connexin 28.8 [Source:ZFIN;Acc:ZDB-GENE-050616-1]</t>
  </si>
  <si>
    <t>flj11011l</t>
  </si>
  <si>
    <t>ENSDARG00000045360</t>
  </si>
  <si>
    <t>hypothetical protein FLJ11011-like (H. sapiens) [Source:ZFIN;Acc:ZDB-GENE-050113-1]</t>
  </si>
  <si>
    <t>ttll9</t>
  </si>
  <si>
    <t>ENSDARG00000062806</t>
  </si>
  <si>
    <t>tubulin tyrosine ligase-like family, member 9 [Source:ZFIN;Acc:ZDB-GENE-030131-1582]</t>
  </si>
  <si>
    <t>calm3b</t>
  </si>
  <si>
    <t>ENSDARG00000074057</t>
  </si>
  <si>
    <t>calmodulin 3b (phosphorylase kinase, delta) [Source:ZFIN;Acc:ZDB-GENE-030131-527]</t>
  </si>
  <si>
    <t>si:dkey-11c5.11</t>
  </si>
  <si>
    <t>ENSDARG00000096637</t>
  </si>
  <si>
    <t>si:dkey-11c5.11 [Source:ZFIN;Acc:ZDB-GENE-121214-253]</t>
  </si>
  <si>
    <t>CDA</t>
  </si>
  <si>
    <t>ENSDARG00000036426</t>
  </si>
  <si>
    <t>zgc:103586 [Source:ZFIN;Acc:ZDB-GENE-041114-88]</t>
  </si>
  <si>
    <t>calm3a</t>
  </si>
  <si>
    <t>ENSDARG00000100825</t>
  </si>
  <si>
    <t>calmodulin 3a (phosphorylase kinase, delta) [Source:ZFIN;Acc:ZDB-GENE-030131-5590]</t>
  </si>
  <si>
    <t>ak7a</t>
  </si>
  <si>
    <t>ENSDARG00000019001</t>
  </si>
  <si>
    <t>adenylate kinase 7a [Source:ZFIN;Acc:ZDB-GENE-040724-122]</t>
  </si>
  <si>
    <t>spag1b</t>
  </si>
  <si>
    <t>ENSDARG00000069499</t>
  </si>
  <si>
    <t>sperm associated antigen 1b [Source:ZFIN;Acc:ZDB-GENE-061013-512]</t>
  </si>
  <si>
    <t>micall2a</t>
  </si>
  <si>
    <t>ENSDARG00000102366</t>
  </si>
  <si>
    <t>mical-like 2a [Source:ZFIN;Acc:ZDB-GENE-030131-5409]</t>
  </si>
  <si>
    <t>si:dkey-13m1.5</t>
  </si>
  <si>
    <t>ENSDARG00000070073</t>
  </si>
  <si>
    <t>si:dkey-13m1.5 [Source:ZFIN;Acc:ZDB-GENE-120411-27]</t>
  </si>
  <si>
    <t>echdc2</t>
  </si>
  <si>
    <t>ENSDARG00000016607</t>
  </si>
  <si>
    <t>enoyl CoA hydratase domain containing 2 [Source:ZFIN;Acc:ZDB-GENE-030219-147]</t>
  </si>
  <si>
    <t>malat1</t>
  </si>
  <si>
    <t>ENSDARG00000099970</t>
  </si>
  <si>
    <t>metastasis associated lung adenocarcinoma transcript 1 [Source:ZFIN;Acc:ZDB-GENE-141216-248]</t>
  </si>
  <si>
    <t>mal</t>
  </si>
  <si>
    <t>ENSDARG00000030094</t>
  </si>
  <si>
    <t>mal, T-cell differentiation protein [Source:ZFIN;Acc:ZDB-GENE-050417-175]</t>
  </si>
  <si>
    <t>si:dkey-114c15.7</t>
  </si>
  <si>
    <t>ENSDARG00000089271</t>
  </si>
  <si>
    <t>si:dkey-114c15.7 [Source:ZFIN;Acc:ZDB-GENE-110411-102]</t>
  </si>
  <si>
    <t>sh2d4bb</t>
  </si>
  <si>
    <t>ENSDARG00000015144</t>
  </si>
  <si>
    <t>SH2 domain containing 4Bb [Source:ZFIN;Acc:ZDB-GENE-130531-42]</t>
  </si>
  <si>
    <t>sms</t>
  </si>
  <si>
    <t>ENSDARG00000008155</t>
  </si>
  <si>
    <t>spermine synthase [Source:ZFIN;Acc:ZDB-GENE-040625-150]</t>
  </si>
  <si>
    <t>lrrc23</t>
  </si>
  <si>
    <t>ENSDARG00000006174</t>
  </si>
  <si>
    <t>leucine rich repeat containing 23 [Source:ZFIN;Acc:ZDB-GENE-041010-153]</t>
  </si>
  <si>
    <t>ECT2L</t>
  </si>
  <si>
    <t>ENSDARG00000091471</t>
  </si>
  <si>
    <t>epithelial cell transforming 2 like [Source:HGNC Symbol;Acc:HGNC:21118]</t>
  </si>
  <si>
    <t>sall3a</t>
  </si>
  <si>
    <t>ENSDARG00000079613</t>
  </si>
  <si>
    <t>spalt-like transcription factor 3a [Source:ZFIN;Acc:ZDB-GENE-020228-4]</t>
  </si>
  <si>
    <t>kcng4a</t>
  </si>
  <si>
    <t>ENSDARG00000062967</t>
  </si>
  <si>
    <t>potassium voltage-gated channel, subfamily G, member 4a [Source:ZFIN;Acc:ZDB-GENE-050419-11]</t>
  </si>
  <si>
    <t>si:ch211-226m7.4</t>
  </si>
  <si>
    <t>ENSDARG00000032885</t>
  </si>
  <si>
    <t>si:ch211-226m7.4 [Source:ZFIN;Acc:ZDB-GENE-080919-1]</t>
  </si>
  <si>
    <t>maats1</t>
  </si>
  <si>
    <t>ENSDARG00000006292</t>
  </si>
  <si>
    <t>MYCBP-associated, testis expressed 1 [Source:ZFIN;Acc:ZDB-GENE-070912-489]</t>
  </si>
  <si>
    <t>cox7a2a</t>
  </si>
  <si>
    <t>ENSDARG00000053217</t>
  </si>
  <si>
    <t>cytochrome c oxidase subunit VIIa polypeptide 2a (liver) [Source:ZFIN;Acc:ZDB-GENE-050522-153]</t>
  </si>
  <si>
    <t>ap1b1</t>
  </si>
  <si>
    <t>ENSDARG00000020621</t>
  </si>
  <si>
    <t>adaptor-related protein complex 1, beta 1 subunit [Source:ZFIN;Acc:ZDB-GENE-061025-1]</t>
  </si>
  <si>
    <t>nsfa</t>
  </si>
  <si>
    <t>ENSDARG00000095967</t>
  </si>
  <si>
    <t>marcksl1b</t>
  </si>
  <si>
    <t>ENSDARG00000035715</t>
  </si>
  <si>
    <t>MARCKS-like 1b [Source:ZFIN;Acc:ZDB-GENE-040426-2315]</t>
  </si>
  <si>
    <t>abca2</t>
  </si>
  <si>
    <t>ENSDARG00000013500</t>
  </si>
  <si>
    <t>ATP-binding cassette, sub-family A (ABC1), member 2 [Source:ZFIN;Acc:ZDB-GENE-050517-1]</t>
  </si>
  <si>
    <t>spock3</t>
  </si>
  <si>
    <t>ENSDARG00000070266</t>
  </si>
  <si>
    <t>sparc/osteonectin, cwcv and kazal-like domains proteoglycan (testican) 3 [Source:ZFIN;Acc:ZDB-GENE-090311-24]</t>
  </si>
  <si>
    <t>rpl24</t>
  </si>
  <si>
    <t>ENSDARG00000099104</t>
  </si>
  <si>
    <t>ribosomal protein L24 [Source:ZFIN;Acc:ZDB-GENE-020419-25]</t>
  </si>
  <si>
    <t>cd99l2</t>
  </si>
  <si>
    <t>ENSDARG00000056722</t>
  </si>
  <si>
    <t>CD99 molecule-like 2 [Source:ZFIN;Acc:ZDB-GENE-030131-1986]</t>
  </si>
  <si>
    <t>rplp2l</t>
  </si>
  <si>
    <t>ENSDARG00000011201</t>
  </si>
  <si>
    <t>ribosomal protein, large P2, like [Source:ZFIN;Acc:ZDB-GENE-070327-2]</t>
  </si>
  <si>
    <t>TPGS1</t>
  </si>
  <si>
    <t>ENSDARG00000027547</t>
  </si>
  <si>
    <t>zgc:92789 [Source:ZFIN;Acc:ZDB-GENE-040718-280]</t>
  </si>
  <si>
    <t>rab3ip</t>
  </si>
  <si>
    <t>ENSDARG00000101908</t>
  </si>
  <si>
    <t>RAB3A interacting protein (rabin3) [Source:ZFIN;Acc:ZDB-GENE-050522-323]</t>
  </si>
  <si>
    <t>efcab1</t>
  </si>
  <si>
    <t>ENSDARG00000061377</t>
  </si>
  <si>
    <t>EF-hand calcium binding domain 1 [Source:ZFIN;Acc:ZDB-GENE-040914-40]</t>
  </si>
  <si>
    <t>ttc25</t>
  </si>
  <si>
    <t>ENSDARG00000058140</t>
  </si>
  <si>
    <t>tetratricopeptide repeat domain 25 [Source:ZFIN;Acc:ZDB-GENE-040426-995]</t>
  </si>
  <si>
    <t>fbxo16</t>
  </si>
  <si>
    <t>ENSDARG00000033949</t>
  </si>
  <si>
    <t>F-box protein 16 [Source:ZFIN;Acc:ZDB-GENE-041015-747]</t>
  </si>
  <si>
    <t>rsph4a</t>
  </si>
  <si>
    <t>ENSDARG00000067606</t>
  </si>
  <si>
    <t>radial spoke head 4 homolog A (Chlamydomonas) [Source:ZFIN;Acc:ZDB-GENE-030131-7437]</t>
  </si>
  <si>
    <t>zgc:92066</t>
  </si>
  <si>
    <t>ENSDARG00000031776</t>
  </si>
  <si>
    <t>zgc:92066 [Source:ZFIN;Acc:ZDB-GENE-040718-72]</t>
  </si>
  <si>
    <t>tmeff2b</t>
  </si>
  <si>
    <t>ENSDARG00000058699</t>
  </si>
  <si>
    <t>transmembrane protein with EGF-like and two follistatin-like domains 2b [Source:ZFIN;Acc:ZDB-GENE-101001-4]</t>
  </si>
  <si>
    <t>pcsk5a</t>
  </si>
  <si>
    <t>ENSDARG00000067537</t>
  </si>
  <si>
    <t>proprotein convertase subtilisin/kexin type 5a [Source:ZFIN;Acc:ZDB-GENE-060531-130]</t>
  </si>
  <si>
    <t>si:dkeyp-1h4.9</t>
  </si>
  <si>
    <t>ENSDARG00000094719</t>
  </si>
  <si>
    <t>si:dkeyp-1h4.9 [Source:ZFIN;Acc:ZDB-GENE-030131-8538]</t>
  </si>
  <si>
    <t>gsto2</t>
  </si>
  <si>
    <t>ENSDARG00000033285</t>
  </si>
  <si>
    <t>glutathione S-transferase omega 2 [Source:ZFIN;Acc:ZDB-GENE-041114-67]</t>
  </si>
  <si>
    <t>lrrc6</t>
  </si>
  <si>
    <t>ENSDARG00000053318</t>
  </si>
  <si>
    <t>leucine rich repeat containing 6 [Source:ZFIN;Acc:ZDB-GENE-040827-2]</t>
  </si>
  <si>
    <t>gpr85</t>
  </si>
  <si>
    <t>ENSDARG00000068701</t>
  </si>
  <si>
    <t>G protein-coupled receptor 85 [Source:ZFIN;Acc:ZDB-GENE-000710-2]</t>
  </si>
  <si>
    <t>msrb3</t>
  </si>
  <si>
    <t>ENSDARG00000045658</t>
  </si>
  <si>
    <t>methionine sulfoxide reductase B3 [Source:ZFIN;Acc:ZDB-GENE-040625-74]</t>
  </si>
  <si>
    <t>ropn1l</t>
  </si>
  <si>
    <t>ENSDARG00000058370</t>
  </si>
  <si>
    <t>rhophilin associated tail protein 1-like [Source:ZFIN;Acc:ZDB-GENE-040724-235]</t>
  </si>
  <si>
    <t>nfe2l2a</t>
  </si>
  <si>
    <t>ENSDARG00000042824</t>
  </si>
  <si>
    <t>nuclear factor, erythroid 2-like 2a [Source:ZFIN;Acc:ZDB-GENE-030723-2]</t>
  </si>
  <si>
    <t>arl6ip1</t>
  </si>
  <si>
    <t>ENSDARG00000054578</t>
  </si>
  <si>
    <t>ADP-ribosylation factor-like 6 interacting protein 1 [Source:ZFIN;Acc:ZDB-GENE-040426-1087]</t>
  </si>
  <si>
    <t>morn5</t>
  </si>
  <si>
    <t>ENSDARG00000033610</t>
  </si>
  <si>
    <t>MORN repeat containing 5 [Source:ZFIN;Acc:ZDB-GENE-050522-267]</t>
  </si>
  <si>
    <t>syt3</t>
  </si>
  <si>
    <t>ENSDARG00000075830</t>
  </si>
  <si>
    <t>synaptotagmin III [Source:ZFIN;Acc:ZDB-GENE-090601-1]</t>
  </si>
  <si>
    <t>rpl11</t>
  </si>
  <si>
    <t>ENSDARG00000043509</t>
  </si>
  <si>
    <t>ribosomal protein L11 [Source:ZFIN;Acc:ZDB-GENE-040625-147]</t>
  </si>
  <si>
    <t>dzank1</t>
  </si>
  <si>
    <t>ENSDARG00000055787</t>
  </si>
  <si>
    <t>double zinc ribbon and ankyrin repeat domains 1 [Source:ZFIN;Acc:ZDB-GENE-051113-296]</t>
  </si>
  <si>
    <t>gpx4a</t>
  </si>
  <si>
    <t>ENSDARG00000068478</t>
  </si>
  <si>
    <t>glutathione peroxidase 4a [Source:ZFIN;Acc:ZDB-GENE-030410-2]</t>
  </si>
  <si>
    <t>csdc2a</t>
  </si>
  <si>
    <t>ENSDARG00000041323</t>
  </si>
  <si>
    <t>cold shock domain containing C2, RNA binding a [Source:ZFIN;Acc:ZDB-GENE-040718-442]</t>
  </si>
  <si>
    <t>drc1</t>
  </si>
  <si>
    <t>ENSDARG00000042182</t>
  </si>
  <si>
    <t>dynein regulatory complex subunit 1 homolog (Chlamydomonas) [Source:ZFIN;Acc:ZDB-GENE-041001-218]</t>
  </si>
  <si>
    <t>dytn</t>
  </si>
  <si>
    <t>ENSDARG00000071025</t>
  </si>
  <si>
    <t>dystrotelin [Source:ZFIN;Acc:ZDB-GENE-070124-2]</t>
  </si>
  <si>
    <t>spata17</t>
  </si>
  <si>
    <t>ENSDARG00000054414</t>
  </si>
  <si>
    <t>spermatogenesis associated 17 [Source:ZFIN;Acc:ZDB-GENE-111214-1]</t>
  </si>
  <si>
    <t>parp6b</t>
  </si>
  <si>
    <t>ENSDARG00000070473</t>
  </si>
  <si>
    <t>poly (ADP-ribose) polymerase family, member 6b [Source:ZFIN;Acc:ZDB-GENE-080219-1]</t>
  </si>
  <si>
    <t>rpl37.1</t>
  </si>
  <si>
    <t>ENSDARG00000076360</t>
  </si>
  <si>
    <t>rpl37</t>
  </si>
  <si>
    <t>ribosomal protein L37 [Source:ZFIN;Acc:ZDB-GENE-040625-39]</t>
  </si>
  <si>
    <t>pkma</t>
  </si>
  <si>
    <t>ENSDARG00000099730</t>
  </si>
  <si>
    <t>pyruvate kinase, muscle, a [Source:ZFIN;Acc:ZDB-GENE-031201-4]</t>
  </si>
  <si>
    <t>xbp1</t>
  </si>
  <si>
    <t>ENSDARG00000035622</t>
  </si>
  <si>
    <t>X-box binding protein 1 [Source:ZFIN;Acc:ZDB-GENE-011210-2]</t>
  </si>
  <si>
    <t>rpl34</t>
  </si>
  <si>
    <t>ENSDARG00000029500</t>
  </si>
  <si>
    <t>ribosomal protein L34 [Source:ZFIN;Acc:ZDB-GENE-040426-1033]</t>
  </si>
  <si>
    <t>rpl36</t>
  </si>
  <si>
    <t>ENSDARG00000100588</t>
  </si>
  <si>
    <t>ribosomal protein L36 [Source:ZFIN;Acc:ZDB-GENE-040622-2]</t>
  </si>
  <si>
    <t>caskb</t>
  </si>
  <si>
    <t>ENSDARG00000100119</t>
  </si>
  <si>
    <t>calcium/calmodulin-dependent serine protein kinase b [Source:ZFIN;Acc:ZDB-GENE-030131-4473]</t>
  </si>
  <si>
    <t>eno4</t>
  </si>
  <si>
    <t>ENSDARG00000070598</t>
  </si>
  <si>
    <t>enolase family member 4 [Source:ZFIN;Acc:ZDB-GENE-061013-677]</t>
  </si>
  <si>
    <t>CNBD1</t>
  </si>
  <si>
    <t>ENSDARG00000091489</t>
  </si>
  <si>
    <t>cyclic nucleotide binding domain containing 1 [Source:HGNC Symbol;Acc:HGNC:26663]</t>
  </si>
  <si>
    <t>RPL37A</t>
  </si>
  <si>
    <t>ENSDARG00000098458</t>
  </si>
  <si>
    <t>zgc:171772 [Source:ZFIN;Acc:ZDB-GENE-070928-31]</t>
  </si>
  <si>
    <t>rps28</t>
  </si>
  <si>
    <t>ENSDARG00000035860</t>
  </si>
  <si>
    <t>ribosomal protein S28 [Source:ZFIN;Acc:ZDB-GENE-030131-2022]</t>
  </si>
  <si>
    <t>c1galt1a</t>
  </si>
  <si>
    <t>ENSDARG00000055585</t>
  </si>
  <si>
    <t>core 1 synthase, glycoprotein-N-acetylgalactosamine 3-beta-galactosyltransferase, 1a [Source:ZFIN;Acc:ZDB-GENE-061013-303]</t>
  </si>
  <si>
    <t>si:dkey-57a22.12</t>
  </si>
  <si>
    <t>ENSDARG00000093594</t>
  </si>
  <si>
    <t>si:dkey-57a22.12 [Source:ZFIN;Acc:ZDB-GENE-081104-424]</t>
  </si>
  <si>
    <t>ift52</t>
  </si>
  <si>
    <t>ENSDARG00000045025</t>
  </si>
  <si>
    <t>intraflagellar transport 52 homolog (Chlamydomonas) [Source:ZFIN;Acc:ZDB-GENE-040614-3]</t>
  </si>
  <si>
    <t>pcloa</t>
  </si>
  <si>
    <t>ENSDARG00000063299</t>
  </si>
  <si>
    <t>piccolo presynaptic cytomatrix protein a [Source:ZFIN;Acc:ZDB-GENE-030131-8115]</t>
  </si>
  <si>
    <t>synrg</t>
  </si>
  <si>
    <t>ENSDARG00000073926</t>
  </si>
  <si>
    <t>synergin, gamma [Source:ZFIN;Acc:ZDB-GENE-030131-9396]</t>
  </si>
  <si>
    <t>RPL29</t>
  </si>
  <si>
    <t>ENSDARG00000077717</t>
  </si>
  <si>
    <t>zgc:92868 [Source:ZFIN;Acc:ZDB-GENE-040801-167]</t>
  </si>
  <si>
    <t>prnprs3</t>
  </si>
  <si>
    <t>ENSDARG00000003705</t>
  </si>
  <si>
    <t>prion protein, related sequence 3 [Source:ZFIN;Acc:ZDB-GENE-041221-3]</t>
  </si>
  <si>
    <t>pclob</t>
  </si>
  <si>
    <t>ENSDARG00000098880</t>
  </si>
  <si>
    <t>piccolo presynaptic cytomatrix protein b [Source:ZFIN;Acc:ZDB-GENE-030131-8100]</t>
  </si>
  <si>
    <t>KCNK7</t>
  </si>
  <si>
    <t>ENSDARG00000057331</t>
  </si>
  <si>
    <t>potassium channel, two pore domain subfamily K, member 7 [Source:HGNC Symbol;Acc:HGNC:6282]</t>
  </si>
  <si>
    <t>pfkpa</t>
  </si>
  <si>
    <t>ENSDARG00000028000</t>
  </si>
  <si>
    <t>phosphofructokinase, platelet a [Source:ZFIN;Acc:ZDB-GENE-091112-22]</t>
  </si>
  <si>
    <t>med30</t>
  </si>
  <si>
    <t>ENSDARG00000101115</t>
  </si>
  <si>
    <t>mediator complex subunit 30 [Source:ZFIN;Acc:ZDB-GENE-040426-1676]</t>
  </si>
  <si>
    <t>si:ch211-218o21.4</t>
  </si>
  <si>
    <t>ENSDARG00000079869</t>
  </si>
  <si>
    <t>si:ch211-218o21.4 [Source:ZFIN;Acc:ZDB-GENE-081104-178]</t>
  </si>
  <si>
    <t>krt1-c5</t>
  </si>
  <si>
    <t>ENSDARG00000026979</t>
  </si>
  <si>
    <t>keratin, type 1, gene c5 [Source:ZFIN;Acc:ZDB-GENE-060316-3]</t>
  </si>
  <si>
    <t>gas8</t>
  </si>
  <si>
    <t>ENSDARG00000101431</t>
  </si>
  <si>
    <t>growth arrest-specific 8 [Source:ZFIN;Acc:ZDB-GENE-030131-1980]</t>
  </si>
  <si>
    <t>si:rp71-56i13.6</t>
  </si>
  <si>
    <t>ENSDARG00000068982</t>
  </si>
  <si>
    <t>si:rp71-56i13.6 [Source:ZFIN;Acc:ZDB-GENE-060503-471]</t>
  </si>
  <si>
    <t>si:ch211-103f14.3</t>
  </si>
  <si>
    <t>ENSDARG00000088315</t>
  </si>
  <si>
    <t>si:ch211-103f14.3 [Source:ZFIN;Acc:ZDB-GENE-110411-160]</t>
  </si>
  <si>
    <t>usp2a.1</t>
  </si>
  <si>
    <t>ENSDARG00000097996</t>
  </si>
  <si>
    <t>usp2a</t>
  </si>
  <si>
    <t>tmem176l.4</t>
  </si>
  <si>
    <t>ENSDARG00000074390</t>
  </si>
  <si>
    <t>transmembrane protein 176l.4 [Source:ZFIN;Acc:ZDB-GENE-030131-3532]</t>
  </si>
  <si>
    <t>zgc:55461</t>
  </si>
  <si>
    <t>ENSDARG00000041723</t>
  </si>
  <si>
    <t>zgc:55461 [Source:ZFIN;Acc:ZDB-GENE-040426-2879]</t>
  </si>
  <si>
    <t>dnajb13</t>
  </si>
  <si>
    <t>ENSDARG00000043157</t>
  </si>
  <si>
    <t>DnaJ (Hsp40) homolog, subfamily B, member 13 [Source:ZFIN;Acc:ZDB-GENE-040910-4]</t>
  </si>
  <si>
    <t>si:ch1073-416d2.4</t>
  </si>
  <si>
    <t>ENSDARG00000101867</t>
  </si>
  <si>
    <t>si:ch1073-416d2.4 [Source:ZFIN;Acc:ZDB-GENE-131121-564]</t>
  </si>
  <si>
    <t>mycbpap</t>
  </si>
  <si>
    <t>ENSDARG00000069194</t>
  </si>
  <si>
    <t>mycbp associated protein [Source:ZFIN;Acc:ZDB-GENE-080923-1]</t>
  </si>
  <si>
    <t>atp6ap2</t>
  </si>
  <si>
    <t>ENSDARG00000008735</t>
  </si>
  <si>
    <t>ATPase, H+ transporting, lysosomal accessory protein 2 [Source:ZFIN;Acc:ZDB-GENE-040426-1960]</t>
  </si>
  <si>
    <t>stoml3a</t>
  </si>
  <si>
    <t>ENSDARG00000079914</t>
  </si>
  <si>
    <t>stomatin (EPB72)-like 3a [Source:ZFIN;Acc:ZDB-GENE-070620-18]</t>
  </si>
  <si>
    <t>cldnh</t>
  </si>
  <si>
    <t>ENSDARG00000069503</t>
  </si>
  <si>
    <t>claudin h [Source:ZFIN;Acc:ZDB-GENE-010328-8]</t>
  </si>
  <si>
    <t>prdx1</t>
  </si>
  <si>
    <t>ENSDARG00000058734</t>
  </si>
  <si>
    <t>peroxiredoxin 1 [Source:ZFIN;Acc:ZDB-GENE-050320-35]</t>
  </si>
  <si>
    <t>rpl26</t>
  </si>
  <si>
    <t>ENSDARG00000102317</t>
  </si>
  <si>
    <t>ribosomal protein L26 [Source:ZFIN;Acc:ZDB-GENE-040426-2117]</t>
  </si>
  <si>
    <t>DNAH2</t>
  </si>
  <si>
    <t>ENSDARG00000087352</t>
  </si>
  <si>
    <t>dynein, axonemal, heavy chain 2 [Source:HGNC Symbol;Acc:HGNC:2948]</t>
  </si>
  <si>
    <t>hebp2</t>
  </si>
  <si>
    <t>ENSDARG00000042630</t>
  </si>
  <si>
    <t>heme binding protein 2 [Source:ZFIN;Acc:ZDB-GENE-040426-914]</t>
  </si>
  <si>
    <t>ift22</t>
  </si>
  <si>
    <t>ENSDARG00000020822</t>
  </si>
  <si>
    <t>intraflagellar transport 22 homolog (Chlamydomonas) [Source:ZFIN;Acc:ZDB-GENE-050417-439]</t>
  </si>
  <si>
    <t>ttc7a</t>
  </si>
  <si>
    <t>ENSDARG00000074760</t>
  </si>
  <si>
    <t>tetratricopeptide repeat domain 7A [Source:ZFIN;Acc:ZDB-GENE-010319-27]</t>
  </si>
  <si>
    <t>nme2b.1</t>
  </si>
  <si>
    <t>ENSDARG00000103791</t>
  </si>
  <si>
    <t>NME/NM23 nucleoside diphosphate kinase 2b, tandem duplicate 1 [Source:ZFIN;Acc:ZDB-GENE-000210-32]</t>
  </si>
  <si>
    <t>znf385b</t>
  </si>
  <si>
    <t>ENSDARG00000006065</t>
  </si>
  <si>
    <t>zinc finger protein 385B [Source:ZFIN;Acc:ZDB-GENE-030616-154]</t>
  </si>
  <si>
    <t>st3gal1l</t>
  </si>
  <si>
    <t>ENSDARG00000079310</t>
  </si>
  <si>
    <t>ST3 beta-galactoside alpha-2,3-sialyltransferase 1, like [Source:ZFIN;Acc:ZDB-GENE-060321-2]</t>
  </si>
  <si>
    <t>cluap1</t>
  </si>
  <si>
    <t>ENSDARG00000079110</t>
  </si>
  <si>
    <t>clusterin associated protein 1 [Source:ZFIN;Acc:ZDB-GENE-040426-1943]</t>
  </si>
  <si>
    <t>rab3ab</t>
  </si>
  <si>
    <t>ENSDARG00000043835</t>
  </si>
  <si>
    <t>RAB3A, member RAS oncogene family, b [Source:ZFIN;Acc:ZDB-GENE-041210-268]</t>
  </si>
  <si>
    <t>dll4</t>
  </si>
  <si>
    <t>ENSDARG00000070425</t>
  </si>
  <si>
    <t>delta-like 4 (Drosophila) [Source:ZFIN;Acc:ZDB-GENE-041014-73]</t>
  </si>
  <si>
    <t>arf2a</t>
  </si>
  <si>
    <t>ENSDARG00000014763</t>
  </si>
  <si>
    <t>ADP-ribosylation factor 2a [Source:ZFIN;Acc:ZDB-GENE-040122-4]</t>
  </si>
  <si>
    <t>irx2a</t>
  </si>
  <si>
    <t>ENSDARG00000001785</t>
  </si>
  <si>
    <t>iroquois homeobox 2a [Source:ZFIN;Acc:ZDB-GENE-040426-1446]</t>
  </si>
  <si>
    <t>mrc1a</t>
  </si>
  <si>
    <t>ENSDARG00000102100</t>
  </si>
  <si>
    <t>mannose receptor, C type 1a [Source:ZFIN;Acc:ZDB-GENE-090915-4]</t>
  </si>
  <si>
    <t>eif3hb</t>
  </si>
  <si>
    <t>ENSDARG00000036116</t>
  </si>
  <si>
    <t>eukaryotic translation initiation factor 3, subunit H, b [Source:ZFIN;Acc:ZDB-GENE-051030-42]</t>
  </si>
  <si>
    <t>cfap20</t>
  </si>
  <si>
    <t>ENSDARG00000100514</t>
  </si>
  <si>
    <t>cilia and flagella associated protein 20 [Source:ZFIN;Acc:ZDB-GENE-040426-1784]</t>
  </si>
  <si>
    <t>rpl35a</t>
  </si>
  <si>
    <t>ENSDARG00000088030</t>
  </si>
  <si>
    <t>ribosomal protein L35a [Source:ZFIN;Acc:ZDB-GENE-040718-190]</t>
  </si>
  <si>
    <t>rps20</t>
  </si>
  <si>
    <t>ENSDARG00000036044</t>
  </si>
  <si>
    <t>ribosomal protein S20 [Source:ZFIN;Acc:ZDB-GENE-040426-2284]</t>
  </si>
  <si>
    <t>txn</t>
  </si>
  <si>
    <t>ENSDARG00000044125</t>
  </si>
  <si>
    <t>thioredoxin [Source:ZFIN;Acc:ZDB-GENE-040718-162]</t>
  </si>
  <si>
    <t>prr15la</t>
  </si>
  <si>
    <t>ENSDARG00000025615</t>
  </si>
  <si>
    <t>proline rich 15-like a [Source:ZFIN;Acc:ZDB-GENE-040801-218]</t>
  </si>
  <si>
    <t>mipol1</t>
  </si>
  <si>
    <t>ENSDARG00000104845</t>
  </si>
  <si>
    <t>mirror-image polydactyly 1 [Source:ZFIN;Acc:ZDB-GENE-030131-41]</t>
  </si>
  <si>
    <t>cyp2p10</t>
  </si>
  <si>
    <t>ENSDARG00000042990</t>
  </si>
  <si>
    <t>cytochrome P450, family 2, subfamily P, polypeptide 10 [Source:ZFIN;Acc:ZDB-GENE-040120-1]</t>
  </si>
  <si>
    <t>rps13</t>
  </si>
  <si>
    <t>ENSDARG00000036298</t>
  </si>
  <si>
    <t>ribosomal protein S13 [Source:ZFIN;Acc:ZDB-GENE-040625-52]</t>
  </si>
  <si>
    <t>rps8a</t>
  </si>
  <si>
    <t>ENSDARG00000055996</t>
  </si>
  <si>
    <t>ribosomal protein S8a [Source:ZFIN;Acc:ZDB-GENE-030131-8626]</t>
  </si>
  <si>
    <t>si:ch211-238e22.1</t>
  </si>
  <si>
    <t>ENSDARG00000099355</t>
  </si>
  <si>
    <t>si:ch211-238e22.1 [Source:ZFIN;Acc:ZDB-GENE-041210-345]</t>
  </si>
  <si>
    <t>hsd3b7</t>
  </si>
  <si>
    <t>ENSDARG00000036966</t>
  </si>
  <si>
    <t>hydroxy-delta-5-steroid dehydrogenase, 3 beta- and steroid delta-isomerase [Source:ZFIN;Acc:ZDB-GENE-030131-5673]</t>
  </si>
  <si>
    <t>junba</t>
  </si>
  <si>
    <t>ENSDARG00000074378</t>
  </si>
  <si>
    <t>jun B proto-oncogene a [Source:ZFIN;Acc:ZDB-GENE-040426-2172]</t>
  </si>
  <si>
    <t>dzip1l</t>
  </si>
  <si>
    <t>ENSDARG00000074265</t>
  </si>
  <si>
    <t>DAZ interacting zinc finger protein 1-like [Source:ZFIN;Acc:ZDB-GENE-051113-196]</t>
  </si>
  <si>
    <t>cbr1l</t>
  </si>
  <si>
    <t>ENSDARG00000021149</t>
  </si>
  <si>
    <t>carbonyl reductase 1-like [Source:ZFIN;Acc:ZDB-GENE-030131-9642]</t>
  </si>
  <si>
    <t>tenm3</t>
  </si>
  <si>
    <t>ENSDARG00000005479</t>
  </si>
  <si>
    <t>teneurin transmembrane protein 3 [Source:ZFIN;Acc:ZDB-GENE-990714-19]</t>
  </si>
  <si>
    <t>TST</t>
  </si>
  <si>
    <t>ENSDARG00000093235</t>
  </si>
  <si>
    <t>zgc:162544 [Source:ZFIN;Acc:ZDB-GENE-030131-9020]</t>
  </si>
  <si>
    <t>gys1</t>
  </si>
  <si>
    <t>ENSDARG00000016875</t>
  </si>
  <si>
    <t>glycogen synthase 1 (muscle) [Source:ZFIN;Acc:ZDB-GENE-040426-1243]</t>
  </si>
  <si>
    <t>rps15a</t>
  </si>
  <si>
    <t>ENSDARG00000010160</t>
  </si>
  <si>
    <t>ribosomal protein S15a [Source:ZFIN;Acc:ZDB-GENE-030131-8708]</t>
  </si>
  <si>
    <t>pdia3</t>
  </si>
  <si>
    <t>ENSDARG00000102640</t>
  </si>
  <si>
    <t>protein disulfide isomerase family A, member 3 [Source:ZFIN;Acc:ZDB-GENE-031002-9]</t>
  </si>
  <si>
    <t>rheb</t>
  </si>
  <si>
    <t>ENSDARG00000090213</t>
  </si>
  <si>
    <t>Ras homolog enriched in brain [Source:ZFIN;Acc:ZDB-GENE-040426-1690]</t>
  </si>
  <si>
    <t>slc2a3a</t>
  </si>
  <si>
    <t>ENSDARG00000013295</t>
  </si>
  <si>
    <t>solute carrier family 2 (facilitated glucose transporter), member 3a [Source:ZFIN;Acc:ZDB-GENE-040718-390]</t>
  </si>
  <si>
    <t>ckbb</t>
  </si>
  <si>
    <t>ENSDARG00000043257</t>
  </si>
  <si>
    <t>creatine kinase, brain b [Source:ZFIN;Acc:ZDB-GENE-020103-2]</t>
  </si>
  <si>
    <t>asb5b</t>
  </si>
  <si>
    <t>ENSDARG00000053222</t>
  </si>
  <si>
    <t>ankyrin repeat and SOCS box containing 5b [Source:ZFIN;Acc:ZDB-GENE-050417-271]</t>
  </si>
  <si>
    <t>cib2</t>
  </si>
  <si>
    <t>ENSDARG00000102820</t>
  </si>
  <si>
    <t>calcium and integrin binding family member 2 [Source:ZFIN;Acc:ZDB-GENE-040426-1663]</t>
  </si>
  <si>
    <t>rnf32</t>
  </si>
  <si>
    <t>ENSDARG00000060035</t>
  </si>
  <si>
    <t>ring finger protein 32 [Source:ZFIN;Acc:ZDB-GENE-061013-39]</t>
  </si>
  <si>
    <t>myo1ca</t>
  </si>
  <si>
    <t>ENSDARG00000020924</t>
  </si>
  <si>
    <t>myosin Ic, paralog a [Source:ZFIN;Acc:ZDB-GENE-070705-190]</t>
  </si>
  <si>
    <t>si:dkeyp-86d6.2</t>
  </si>
  <si>
    <t>ENSDARG00000101911</t>
  </si>
  <si>
    <t>si:dkeyp-86d6.2 [Source:ZFIN;Acc:ZDB-GENE-141216-459]</t>
  </si>
  <si>
    <t>stk32a</t>
  </si>
  <si>
    <t>ENSDARG00000079499</t>
  </si>
  <si>
    <t>serine/threonine kinase 32A [Source:ZFIN;Acc:ZDB-GENE-091204-271]</t>
  </si>
  <si>
    <t>rps19</t>
  </si>
  <si>
    <t>ENSDARG00000030602</t>
  </si>
  <si>
    <t>ribosomal protein S19 [Source:ZFIN;Acc:ZDB-GENE-040426-1716]</t>
  </si>
  <si>
    <t>lipf</t>
  </si>
  <si>
    <t>ENSDARG00000018529</t>
  </si>
  <si>
    <t>lipase, gastric [Source:ZFIN;Acc:ZDB-GENE-040426-2737]</t>
  </si>
  <si>
    <t>si:dkey-26i13.8</t>
  </si>
  <si>
    <t>ENSDARG00000062606</t>
  </si>
  <si>
    <t>si:dkey-26i13.8 [Source:ZFIN;Acc:ZDB-GENE-090312-134]</t>
  </si>
  <si>
    <t>rpl38</t>
  </si>
  <si>
    <t>ENSDARG00000006413</t>
  </si>
  <si>
    <t>ribosomal protein L38 [Source:ZFIN;Acc:ZDB-GENE-030131-8752]</t>
  </si>
  <si>
    <t>ush1c</t>
  </si>
  <si>
    <t>ENSDARG00000051876</t>
  </si>
  <si>
    <t>Usher syndrome 1C [Source:ZFIN;Acc:ZDB-GENE-060312-41]</t>
  </si>
  <si>
    <t>CCDC181</t>
  </si>
  <si>
    <t>ENSDARG00000062021</t>
  </si>
  <si>
    <t>si:ch211-232d19.4 [Source:ZFIN;Acc:ZDB-GENE-060503-312]</t>
  </si>
  <si>
    <t>gclm</t>
  </si>
  <si>
    <t>ENSDARG00000018953</t>
  </si>
  <si>
    <t>glutamate-cysteine ligase, modifier subunit [Source:ZFIN;Acc:ZDB-GENE-030131-5906]</t>
  </si>
  <si>
    <t>WDR63</t>
  </si>
  <si>
    <t>ENSDARG00000105093</t>
  </si>
  <si>
    <t>WD repeat domain 63 [Source:HGNC Symbol;Acc:HGNC:30711]</t>
  </si>
  <si>
    <t>ak4</t>
  </si>
  <si>
    <t>ENSDARG00000006546</t>
  </si>
  <si>
    <t>adenylate kinase 4 [Source:ZFIN;Acc:ZDB-GENE-040426-2505]</t>
  </si>
  <si>
    <t>si:dkey-205h13.1</t>
  </si>
  <si>
    <t>ENSDARG00000079307</t>
  </si>
  <si>
    <t>si:dkey-205h13.1 [Source:ZFIN;Acc:ZDB-GENE-090313-227]</t>
  </si>
  <si>
    <t>map9</t>
  </si>
  <si>
    <t>ENSDARG00000037276</t>
  </si>
  <si>
    <t>microtubule-associated protein 9 [Source:ZFIN;Acc:ZDB-GENE-080225-36]</t>
  </si>
  <si>
    <t>ank3a</t>
  </si>
  <si>
    <t>ENSDARG00000061736</t>
  </si>
  <si>
    <t>ankyrin 3a [Source:ZFIN;Acc:ZDB-GENE-060621-1]</t>
  </si>
  <si>
    <t>tfg</t>
  </si>
  <si>
    <t>ENSDARG00000003641</t>
  </si>
  <si>
    <t>trk-fused gene [Source:ZFIN;Acc:ZDB-GENE-030131-8410]</t>
  </si>
  <si>
    <t>si:ch211-112b1.4</t>
  </si>
  <si>
    <t>ENSDARG00000096053</t>
  </si>
  <si>
    <t>si:ch211-112b1.4 [Source:ZFIN;Acc:ZDB-GENE-131127-114]</t>
  </si>
  <si>
    <t>rpl18</t>
  </si>
  <si>
    <t>ENSDARG00000029533</t>
  </si>
  <si>
    <t>ribosomal protein L18 [Source:ZFIN;Acc:ZDB-GENE-040801-165]</t>
  </si>
  <si>
    <t>nfkbiab</t>
  </si>
  <si>
    <t>ENSDARG00000007693</t>
  </si>
  <si>
    <t>nuclear factor of kappa light polypeptide gene enhancer in B-cells inhibitor, alpha b [Source:ZFIN;Acc:ZDB-GENE-030131-1819]</t>
  </si>
  <si>
    <t>sall1a</t>
  </si>
  <si>
    <t>ENSDARG00000074319</t>
  </si>
  <si>
    <t>spalt-like transcription factor 1a [Source:ZFIN;Acc:ZDB-GENE-020228-2]</t>
  </si>
  <si>
    <t>si:ch211-274p24.2</t>
  </si>
  <si>
    <t>ENSDARG00000095185</t>
  </si>
  <si>
    <t>si:ch211-274p24.2 [Source:ZFIN;Acc:ZDB-GENE-050309-265]</t>
  </si>
  <si>
    <t>zgc:77517</t>
  </si>
  <si>
    <t>ENSDARG00000028618</t>
  </si>
  <si>
    <t>zgc:77517 [Source:ZFIN;Acc:ZDB-GENE-040426-1508]</t>
  </si>
  <si>
    <t>fam46bb</t>
  </si>
  <si>
    <t>ENSDARG00000011797</t>
  </si>
  <si>
    <t>family with sequence similarity 46, member Bb [Source:ZFIN;Acc:ZDB-GENE-060503-431]</t>
  </si>
  <si>
    <t>ift57</t>
  </si>
  <si>
    <t>ENSDARG00000021022</t>
  </si>
  <si>
    <t>intraflagellar transport 57 homolog (Chlamydomonas) [Source:ZFIN;Acc:ZDB-GENE-040614-1]</t>
  </si>
  <si>
    <t>rpl9</t>
  </si>
  <si>
    <t>ENSDARG00000037350</t>
  </si>
  <si>
    <t>ribosomal protein L9 [Source:ZFIN;Acc:ZDB-GENE-030131-8646]</t>
  </si>
  <si>
    <t>atp6v0d1</t>
  </si>
  <si>
    <t>ENSDARG00000069090</t>
  </si>
  <si>
    <t>ATPase, H+ transporting, lysosomal V0 subunit d1 [Source:ZFIN;Acc:ZDB-GENE-030131-1531]</t>
  </si>
  <si>
    <t>dyx1c1</t>
  </si>
  <si>
    <t>ENSDARG00000099161</t>
  </si>
  <si>
    <t>dyslexia susceptibility 1 candidate 1 [Source:ZFIN;Acc:ZDB-GENE-040426-1892]</t>
  </si>
  <si>
    <t>zfp36l1b</t>
  </si>
  <si>
    <t>ENSDARG00000021443</t>
  </si>
  <si>
    <t>zinc finger protein 36, C3H type-like 1b [Source:ZFIN;Acc:ZDB-GENE-030131-2391]</t>
  </si>
  <si>
    <t>cd9b</t>
  </si>
  <si>
    <t>ENSDARG00000016691</t>
  </si>
  <si>
    <t>CD9 molecule b [Source:ZFIN;Acc:ZDB-GENE-040426-2768]</t>
  </si>
  <si>
    <t>cox6a1</t>
  </si>
  <si>
    <t>ENSDARG00000022438</t>
  </si>
  <si>
    <t>cytochrome c oxidase subunit VIa polypeptide 1 [Source:ZFIN;Acc:ZDB-GENE-030131-7715]</t>
  </si>
  <si>
    <t>phactr3b</t>
  </si>
  <si>
    <t>ENSDARG00000019304</t>
  </si>
  <si>
    <t>phosphatase and actin regulator 3b [Source:ZFIN;Acc:ZDB-GENE-050522-156]</t>
  </si>
  <si>
    <t>pir</t>
  </si>
  <si>
    <t>ENSDARG00000056638</t>
  </si>
  <si>
    <t>pirin [Source:ZFIN;Acc:ZDB-GENE-040718-288]</t>
  </si>
  <si>
    <t>si:dkey-246i21.1</t>
  </si>
  <si>
    <t>ENSDARG00000093492</t>
  </si>
  <si>
    <t>si:dkey-246i21.1 [Source:ZFIN;Acc:ZDB-GENE-090313-271]</t>
  </si>
  <si>
    <t>btg1</t>
  </si>
  <si>
    <t>ENSDARG00000027249</t>
  </si>
  <si>
    <t>B-cell translocation gene 1, anti-proliferative [Source:ZFIN;Acc:ZDB-GENE-010726-1]</t>
  </si>
  <si>
    <t>sqstm1</t>
  </si>
  <si>
    <t>ENSDARG00000075014</t>
  </si>
  <si>
    <t>sequestosome 1 [Source:ZFIN;Acc:ZDB-GENE-040426-2204]</t>
  </si>
  <si>
    <t>zgc:86599</t>
  </si>
  <si>
    <t>ENSDARG00000015978</t>
  </si>
  <si>
    <t>zgc:86599 [Source:ZFIN;Acc:ZDB-GENE-040625-180]</t>
  </si>
  <si>
    <t>hagh</t>
  </si>
  <si>
    <t>ENSDARG00000025338</t>
  </si>
  <si>
    <t>hydroxyacylglutathione hydrolase [Source:ZFIN;Acc:ZDB-GENE-030131-8921]</t>
  </si>
  <si>
    <t>stau2</t>
  </si>
  <si>
    <t>ENSDARG00000026801</t>
  </si>
  <si>
    <t>staufen double-stranded RNA binding protein 2 [Source:ZFIN;Acc:ZDB-GENE-040426-687]</t>
  </si>
  <si>
    <t>ttc23</t>
  </si>
  <si>
    <t>ENSDARG00000022160</t>
  </si>
  <si>
    <t>tetratricopeptide repeat domain 23 [Source:ZFIN;Acc:ZDB-GENE-050419-126]</t>
  </si>
  <si>
    <t>arl3</t>
  </si>
  <si>
    <t>ENSDARG00000071409</t>
  </si>
  <si>
    <t>ADP-ribosylation factor-like 3 [Source:ZFIN;Acc:ZDB-GENE-030131-7518]</t>
  </si>
  <si>
    <t>si:ch211-191o15.6</t>
  </si>
  <si>
    <t>ENSDARG00000090981</t>
  </si>
  <si>
    <t>si:ch211-191o15.6 [Source:ZFIN;Acc:ZDB-GENE-110228-3]</t>
  </si>
  <si>
    <t>rpl3</t>
  </si>
  <si>
    <t>ENSDARG00000003599</t>
  </si>
  <si>
    <t>ribosomal protein L3 [Source:ZFIN;Acc:ZDB-GENE-030131-1291]</t>
  </si>
  <si>
    <t>pcyt2</t>
  </si>
  <si>
    <t>ENSDARG00000043003</t>
  </si>
  <si>
    <t>phosphate cytidylyltransferase 2, ethanolamine [Source:ZFIN;Acc:ZDB-GENE-041010-132]</t>
  </si>
  <si>
    <t>cnrip1a</t>
  </si>
  <si>
    <t>ENSDARG00000091683</t>
  </si>
  <si>
    <t>cannabinoid receptor interacting protein 1a [Source:ZFIN;Acc:ZDB-GENE-040801-126]</t>
  </si>
  <si>
    <t>MAF1</t>
  </si>
  <si>
    <t>ENSDARG00000036489</t>
  </si>
  <si>
    <t>zgc:112356 [Source:ZFIN;Acc:ZDB-GENE-050913-28]</t>
  </si>
  <si>
    <t>oxct1a</t>
  </si>
  <si>
    <t>ENSDARG00000013063</t>
  </si>
  <si>
    <t>3-oxoacid CoA transferase 1a [Source:ZFIN;Acc:ZDB-GENE-040723-3]</t>
  </si>
  <si>
    <t>zgc:158291</t>
  </si>
  <si>
    <t>ENSDARG00000044375</t>
  </si>
  <si>
    <t>zgc:158291 [Source:ZFIN;Acc:ZDB-GENE-061215-70]</t>
  </si>
  <si>
    <t>tmem107</t>
  </si>
  <si>
    <t>ENSDARG00000059150</t>
  </si>
  <si>
    <t>transmembrane protein 107 [Source:ZFIN;Acc:ZDB-GENE-040426-2294]</t>
  </si>
  <si>
    <t>mef2cb</t>
  </si>
  <si>
    <t>ENSDARG00000009418</t>
  </si>
  <si>
    <t>myocyte enhancer factor 2cb [Source:ZFIN;Acc:ZDB-GENE-040901-7]</t>
  </si>
  <si>
    <t>tbc1d16</t>
  </si>
  <si>
    <t>ENSDARG00000036994</t>
  </si>
  <si>
    <t>TBC1 domain family, member 16 [Source:ZFIN;Acc:ZDB-GENE-041010-179]</t>
  </si>
  <si>
    <t>junbb</t>
  </si>
  <si>
    <t>ENSDARG00000104773</t>
  </si>
  <si>
    <t>jun B proto-oncogene b [Source:ZFIN;Acc:ZDB-GENE-040426-2666]</t>
  </si>
  <si>
    <t>iqck</t>
  </si>
  <si>
    <t>ENSDARG00000076831</t>
  </si>
  <si>
    <t>IQ motif containing K [Source:ZFIN;Acc:ZDB-GENE-081022-109]</t>
  </si>
  <si>
    <t>rsph10b</t>
  </si>
  <si>
    <t>ENSDARG00000051891</t>
  </si>
  <si>
    <t>radial spoke head 10 homolog B (Chlamydomonas) [Source:ZFIN;Acc:ZDB-GENE-060929-300]</t>
  </si>
  <si>
    <t>CFAP70</t>
  </si>
  <si>
    <t>ENSDARG00000058508</t>
  </si>
  <si>
    <t>si:dkey-254e1.1 [Source:ZFIN;Acc:ZDB-GENE-091204-50]</t>
  </si>
  <si>
    <t>b3gnt2a</t>
  </si>
  <si>
    <t>ENSDARG00000052376</t>
  </si>
  <si>
    <t>UDP-GlcNAc:betaGal beta-1,3-N-acetylglucosaminyltransferase 2a [Source:ZFIN;Acc:ZDB-GENE-090312-192]</t>
  </si>
  <si>
    <t>si:ch211-139d20.3</t>
  </si>
  <si>
    <t>ENSDARG00000097372</t>
  </si>
  <si>
    <t>si:ch211-139d20.3 [Source:ZFIN;Acc:ZDB-GENE-131127-287]</t>
  </si>
  <si>
    <t>desma</t>
  </si>
  <si>
    <t>ENSDARG00000058656</t>
  </si>
  <si>
    <t>desmin a [Source:ZFIN;Acc:ZDB-GENE-980526-221]</t>
  </si>
  <si>
    <t>camk2g2</t>
  </si>
  <si>
    <t>ENSDARG00000056206</t>
  </si>
  <si>
    <t>calcium/calmodulin-dependent protein kinase (CaM kinase) II gamma 2 [Source:ZFIN;Acc:ZDB-GENE-070323-2]</t>
  </si>
  <si>
    <t>rps21</t>
  </si>
  <si>
    <t>ENSDARG00000025850</t>
  </si>
  <si>
    <t>ribosomal protein S21 [Source:ZFIN;Acc:ZDB-GENE-040426-1102]</t>
  </si>
  <si>
    <t>dusp19a</t>
  </si>
  <si>
    <t>ENSDARG00000040490</t>
  </si>
  <si>
    <t>dual specificity phosphatase 19a [Source:ZFIN;Acc:ZDB-GENE-081104-382]</t>
  </si>
  <si>
    <t>rps27.1</t>
  </si>
  <si>
    <t>ENSDARG00000023298</t>
  </si>
  <si>
    <t>ribosomal protein S27, isoform 1 [Source:ZFIN;Acc:ZDB-GENE-050522-549]</t>
  </si>
  <si>
    <t>trappc3</t>
  </si>
  <si>
    <t>ENSDARG00000045364</t>
  </si>
  <si>
    <t>trafficking protein particle complex 3 [Source:ZFIN;Acc:ZDB-GENE-040801-120]</t>
  </si>
  <si>
    <t>casz1</t>
  </si>
  <si>
    <t>ENSDARG00000037030</t>
  </si>
  <si>
    <t>castor zinc finger 1 [Source:ZFIN;Acc:ZDB-GENE-060130-108]</t>
  </si>
  <si>
    <t>atp5g1</t>
  </si>
  <si>
    <t>ENSDARG00000056008</t>
  </si>
  <si>
    <t>ATP synthase, H+ transporting, mitochondrial Fo complex, subunit C1 (subunit 9) [Source:ZFIN;Acc:ZDB-GENE-040426-1966]</t>
  </si>
  <si>
    <t>zgc:153740</t>
  </si>
  <si>
    <t>ENSDARG00000068130</t>
  </si>
  <si>
    <t>zgc:153740 [Source:ZFIN;Acc:ZDB-GENE-060825-33]</t>
  </si>
  <si>
    <t>cplx2l</t>
  </si>
  <si>
    <t>ENSDARG00000018997</t>
  </si>
  <si>
    <t>complexin 2, like [Source:ZFIN;Acc:ZDB-GENE-040718-160]</t>
  </si>
  <si>
    <t>calm2a</t>
  </si>
  <si>
    <t>ENSDARG00000031427</t>
  </si>
  <si>
    <t>calmodulin 2a (phosphorylase kinase, delta) [Source:ZFIN;Acc:ZDB-GENE-030804-3]</t>
  </si>
  <si>
    <t>ANKRD30B</t>
  </si>
  <si>
    <t>ENSDARG00000099768</t>
  </si>
  <si>
    <t>si:ch211-272n13.3 [Source:ZFIN;Acc:ZDB-GENE-081104-216]</t>
  </si>
  <si>
    <t>si:ch73-110p20.1</t>
  </si>
  <si>
    <t>ENSDARG00000095236</t>
  </si>
  <si>
    <t>si:ch73-110p20.1 [Source:ZFIN;Acc:ZDB-GENE-081030-16]</t>
  </si>
  <si>
    <t>herc1</t>
  </si>
  <si>
    <t>ENSDARG00000077901</t>
  </si>
  <si>
    <t>HECT and RLD domain containing E3 ubiquitin protein ligase family member 1 [Source:ZFIN;Acc:ZDB-GENE-030131-8542]</t>
  </si>
  <si>
    <t>ap1s1</t>
  </si>
  <si>
    <t>ENSDARG00000056803</t>
  </si>
  <si>
    <t>adaptor-related protein complex 1, sigma 1 subunit [Source:ZFIN;Acc:ZDB-GENE-040426-1119]</t>
  </si>
  <si>
    <t>si:dkey-57c15.9</t>
  </si>
  <si>
    <t>ENSDARG00000093642</t>
  </si>
  <si>
    <t>si:dkey-57c15.9 [Source:ZFIN;Acc:ZDB-GENE-050208-517]</t>
  </si>
  <si>
    <t>cdc34a</t>
  </si>
  <si>
    <t>ENSDARG00000069708</t>
  </si>
  <si>
    <t>cell division cycle 34 homolog (S. cerevisiae) a [Source:ZFIN;Acc:ZDB-GENE-040426-713]</t>
  </si>
  <si>
    <t>rpl12</t>
  </si>
  <si>
    <t>ENSDARG00000006691</t>
  </si>
  <si>
    <t>ribosomal protein L12 [Source:ZFIN;Acc:ZDB-GENE-030131-5297]</t>
  </si>
  <si>
    <t>cdc14ab</t>
  </si>
  <si>
    <t>ENSDARG00000057016</t>
  </si>
  <si>
    <t>cell division cycle 14Ab [Source:ZFIN;Acc:ZDB-GENE-070705-309]</t>
  </si>
  <si>
    <t>dnah12</t>
  </si>
  <si>
    <t>ENSDARG00000059987</t>
  </si>
  <si>
    <t>dynein, axonemal, heavy chain 12 [Source:ZFIN;Acc:ZDB-GENE-090311-9]</t>
  </si>
  <si>
    <t>si:ch211-56a11.2</t>
  </si>
  <si>
    <t>ENSDARG00000093677</t>
  </si>
  <si>
    <t>si:ch211-56a11.2 [Source:ZFIN;Acc:ZDB-GENE-091204-123]</t>
  </si>
  <si>
    <t>rpl23</t>
  </si>
  <si>
    <t>ENSDARG00000053457</t>
  </si>
  <si>
    <t>ribosomal protein L23 [Source:ZFIN;Acc:ZDB-GENE-030131-8756]</t>
  </si>
  <si>
    <t>atp6v1ba</t>
  </si>
  <si>
    <t>ENSDARG00000013443</t>
  </si>
  <si>
    <t>ATPase, H+ transporting, lysosomal, V1 subunit B, member a [Source:ZFIN;Acc:ZDB-GENE-030711-3]</t>
  </si>
  <si>
    <t>tph1a</t>
  </si>
  <si>
    <t>ENSDARG00000029432</t>
  </si>
  <si>
    <t>tryptophan hydroxylase 1 (tryptophan 5-monooxygenase) a [Source:ZFIN;Acc:ZDB-GENE-030317-1]</t>
  </si>
  <si>
    <t>ucp2</t>
  </si>
  <si>
    <t>ENSDARG00000043154</t>
  </si>
  <si>
    <t>uncoupling protein 2 [Source:ZFIN;Acc:ZDB-GENE-990708-8]</t>
  </si>
  <si>
    <t>CABZ01055343.1</t>
  </si>
  <si>
    <t>ENSDARG00000036304</t>
  </si>
  <si>
    <t>CR847986.1</t>
  </si>
  <si>
    <t>ENSDARG00000061850</t>
  </si>
  <si>
    <t>dnajc12</t>
  </si>
  <si>
    <t>ENSDARG00000086691</t>
  </si>
  <si>
    <t>DnaJ (Hsp40) homolog, subfamily C, member 12 [Source:ZFIN;Acc:ZDB-GENE-070801-3]</t>
  </si>
  <si>
    <t>cfap57</t>
  </si>
  <si>
    <t>ENSDARG00000058090</t>
  </si>
  <si>
    <t>cilia and flagella associated protein 57 [Source:ZFIN;Acc:ZDB-GENE-110411-266]</t>
  </si>
  <si>
    <t>GARNL3</t>
  </si>
  <si>
    <t>ENSDARG00000060631</t>
  </si>
  <si>
    <t>GTPase-activating Rap/Ran-GAP domain-like protein 3  [Source:UniProtKB/Swiss-Prot;Acc:A5PF44]</t>
  </si>
  <si>
    <t>zgc:56628</t>
  </si>
  <si>
    <t>ENSDARG00000102630</t>
  </si>
  <si>
    <t>zgc:56628 [Source:ZFIN;Acc:ZDB-GENE-040426-1099]</t>
  </si>
  <si>
    <t>ANKRD66</t>
  </si>
  <si>
    <t>ENSDARG00000090489</t>
  </si>
  <si>
    <t>si:ch211-189e2.2 [Source:ZFIN;Acc:ZDB-GENE-131121-624]</t>
  </si>
  <si>
    <t>dcun1d2a</t>
  </si>
  <si>
    <t>ENSDARG00000040838</t>
  </si>
  <si>
    <t>DCN1, defective in cullin neddylation 1, domain containing 2a [Source:ZFIN;Acc:ZDB-GENE-020416-2]</t>
  </si>
  <si>
    <t>atp6v1g1</t>
  </si>
  <si>
    <t>ENSDARG00000022315</t>
  </si>
  <si>
    <t>ATPase, H+ transporting, lysosomal, V1 subunit G1 [Source:ZFIN;Acc:ZDB-GENE-030131-6965]</t>
  </si>
  <si>
    <t>si:ch211-195b15.8</t>
  </si>
  <si>
    <t>ENSDARG00000094836</t>
  </si>
  <si>
    <t>si:ch211-195b15.8 [Source:ZFIN;Acc:ZDB-GENE-131127-627]</t>
  </si>
  <si>
    <t>meis1a</t>
  </si>
  <si>
    <t>ENSDARG00000002937</t>
  </si>
  <si>
    <t>Meis homeobox 1 a [Source:ZFIN;Acc:ZDB-GENE-020122-3]</t>
  </si>
  <si>
    <t>PRKAB2</t>
  </si>
  <si>
    <t>ENSDARG00000067817</t>
  </si>
  <si>
    <t>protein kinase, AMP-activated, beta 2 non-catalytic subunit [Source:HGNC Symbol;Acc:HGNC:9379]</t>
  </si>
  <si>
    <t>loxhd1a</t>
  </si>
  <si>
    <t>ENSDARG00000094738</t>
  </si>
  <si>
    <t>lipoxygenase homology domains 1a [Source:ZFIN;Acc:ZDB-GENE-091112-20]</t>
  </si>
  <si>
    <t>acyp1</t>
  </si>
  <si>
    <t>ENSDARG00000060126</t>
  </si>
  <si>
    <t>acylphosphatase 1, erythrocyte (common) type [Source:ZFIN;Acc:ZDB-GENE-050309-125]</t>
  </si>
  <si>
    <t>phactr3a</t>
  </si>
  <si>
    <t>ENSDARG00000058243</t>
  </si>
  <si>
    <t>phosphatase and actin regulator 3a [Source:ZFIN;Acc:ZDB-GENE-080220-4]</t>
  </si>
  <si>
    <t>atp5b</t>
  </si>
  <si>
    <t>ENSDARG00000070083</t>
  </si>
  <si>
    <t>ATP synthase, H+ transporting, mitochondrial F1 complex, beta polypeptide [Source:ZFIN;Acc:ZDB-GENE-030131-124]</t>
  </si>
  <si>
    <t>nme3</t>
  </si>
  <si>
    <t>ENSDARG00000100990</t>
  </si>
  <si>
    <t>NME/NM23 nucleoside diphosphate kinase 3 [Source:ZFIN;Acc:ZDB-GENE-000210-34]</t>
  </si>
  <si>
    <t>rpl10a</t>
  </si>
  <si>
    <t>ENSDARG00000042905</t>
  </si>
  <si>
    <t>ribosomal protein L10a [Source:ZFIN;Acc:ZDB-GENE-030131-2025]</t>
  </si>
  <si>
    <t>rpl36a</t>
  </si>
  <si>
    <t>ENSDARG00000058105</t>
  </si>
  <si>
    <t>ribosomal protein L36A [Source:ZFIN;Acc:ZDB-GENE-020423-1]</t>
  </si>
  <si>
    <t>gabarapl2</t>
  </si>
  <si>
    <t>ENSDARG00000027200</t>
  </si>
  <si>
    <t>GABA(A) receptor-associated protein like 2 [Source:ZFIN;Acc:ZDB-GENE-040718-336]</t>
  </si>
  <si>
    <t>hspa5</t>
  </si>
  <si>
    <t>ENSDARG00000103846</t>
  </si>
  <si>
    <t>heat shock protein 5 [Source:ZFIN;Acc:ZDB-GENE-031001-11]</t>
  </si>
  <si>
    <t>si:ch211-215a9.36</t>
  </si>
  <si>
    <t>ENSDARG00000103644</t>
  </si>
  <si>
    <t>si:ch211-215a9.36 [Source:ZFIN;Acc:ZDB-GENE-141222-37]</t>
  </si>
  <si>
    <t>tspan3a</t>
  </si>
  <si>
    <t>ENSDARG00000034753</t>
  </si>
  <si>
    <t>tetraspanin 3a [Source:ZFIN;Acc:ZDB-GENE-030131-7787]</t>
  </si>
  <si>
    <t>rpl35</t>
  </si>
  <si>
    <t>ENSDARG00000018334</t>
  </si>
  <si>
    <t>ribosomal protein L35 [Source:ZFIN;Acc:ZDB-GENE-020419-2]</t>
  </si>
  <si>
    <t>rps14</t>
  </si>
  <si>
    <t>ENSDARG00000036629</t>
  </si>
  <si>
    <t>ribosomal protein S14 [Source:ZFIN;Acc:ZDB-GENE-030131-8631]</t>
  </si>
  <si>
    <t>mapk15</t>
  </si>
  <si>
    <t>ENSDARG00000100822</t>
  </si>
  <si>
    <t>mitogen-activated protein kinase 15 [Source:ZFIN;Acc:ZDB-GENE-050522-307]</t>
  </si>
  <si>
    <t>ndufb4</t>
  </si>
  <si>
    <t>ENSDARG00000019332</t>
  </si>
  <si>
    <t>NADH dehydrogenase (ubiquinone) 1 beta subcomplex, 4 [Source:ZFIN;Acc:ZDB-GENE-040426-1973]</t>
  </si>
  <si>
    <t>rpl39</t>
  </si>
  <si>
    <t>ENSDARG00000036316</t>
  </si>
  <si>
    <t>ribosomal protein L39 [Source:ZFIN;Acc:ZDB-GENE-040625-51]</t>
  </si>
  <si>
    <t>vdac3</t>
  </si>
  <si>
    <t>ENSDARG00000003695</t>
  </si>
  <si>
    <t>voltage-dependent anion channel 3 [Source:ZFIN;Acc:ZDB-GENE-040426-2380]</t>
  </si>
  <si>
    <t>rps12</t>
  </si>
  <si>
    <t>ENSDARG00000036875</t>
  </si>
  <si>
    <t>ribosomal protein S12 [Source:ZFIN;Acc:ZDB-GENE-030131-8951]</t>
  </si>
  <si>
    <t>rpsa</t>
  </si>
  <si>
    <t>ENSDARG00000019181</t>
  </si>
  <si>
    <t>ribosomal protein SA [Source:ZFIN;Acc:ZDB-GENE-040426-811]</t>
  </si>
  <si>
    <t>si:dkey-265j8.3</t>
  </si>
  <si>
    <t>ENSDARG00000097108</t>
  </si>
  <si>
    <t>si:dkey-265j8.3 [Source:ZFIN;Acc:ZDB-GENE-131127-55]</t>
  </si>
  <si>
    <t>bbs5</t>
  </si>
  <si>
    <t>ENSDARG00000039827</t>
  </si>
  <si>
    <t>Bardet-Biedl syndrome 5 [Source:ZFIN;Acc:ZDB-GENE-040426-1083]</t>
  </si>
  <si>
    <t>uqcc3</t>
  </si>
  <si>
    <t>ENSDARG00000093382</t>
  </si>
  <si>
    <t>ubiquinol-cytochrome c reductase complex assembly factor 3 [Source:ZFIN;Acc:ZDB-GENE-030131-8451]</t>
  </si>
  <si>
    <t>mfap3l</t>
  </si>
  <si>
    <t>ENSDARG00000062752</t>
  </si>
  <si>
    <t>microfibrillar-associated protein 3-like [Source:ZFIN;Acc:ZDB-GENE-111229-2]</t>
  </si>
  <si>
    <t>rps10</t>
  </si>
  <si>
    <t>ENSDARG00000034897</t>
  </si>
  <si>
    <t>ribosomal protein S10 [Source:ZFIN;Acc:ZDB-GENE-040426-1481]</t>
  </si>
  <si>
    <t>rps3a</t>
  </si>
  <si>
    <t>ENSDARG00000035692</t>
  </si>
  <si>
    <t>ribosomal protein S3A [Source:ZFIN;Acc:ZDB-GENE-030131-9184]</t>
  </si>
  <si>
    <t>pla2g6</t>
  </si>
  <si>
    <t>ENSDARG00000060921</t>
  </si>
  <si>
    <t>phospholipase A2, group VI (cytosolic, calcium-independent) [Source:ZFIN;Acc:ZDB-GENE-040426-2079]</t>
  </si>
  <si>
    <t>tmsb4x</t>
  </si>
  <si>
    <t>ENSDARG00000077777</t>
  </si>
  <si>
    <t>thymosin, beta 4 x [Source:ZFIN;Acc:ZDB-GENE-030131-8304]</t>
  </si>
  <si>
    <t>rpl13</t>
  </si>
  <si>
    <t>ENSDARG00000099380</t>
  </si>
  <si>
    <t>ribosomal protein L13 [Source:ZFIN;Acc:ZDB-GENE-031007-1]</t>
  </si>
  <si>
    <t>sdc4</t>
  </si>
  <si>
    <t>ENSDARG00000059906</t>
  </si>
  <si>
    <t>syndecan 4 [Source:ZFIN;Acc:ZDB-GENE-061111-1]</t>
  </si>
  <si>
    <t>hspa8</t>
  </si>
  <si>
    <t>ENSDARG00000068992</t>
  </si>
  <si>
    <t>heat shock protein 8 [Source:ZFIN;Acc:ZDB-GENE-990415-92]</t>
  </si>
  <si>
    <t>pih1d2</t>
  </si>
  <si>
    <t>ENSDARG00000014849</t>
  </si>
  <si>
    <t>PIH1 domain containing 2 [Source:ZFIN;Acc:ZDB-GENE-041212-54]</t>
  </si>
  <si>
    <t>ethe1</t>
  </si>
  <si>
    <t>ENSDARG00000005713</t>
  </si>
  <si>
    <t>ethylmalonic encephalopathy 1 [Source:ZFIN;Acc:ZDB-GENE-040426-2503]</t>
  </si>
  <si>
    <t>FAM19A2</t>
  </si>
  <si>
    <t>ENSDARG00000099464</t>
  </si>
  <si>
    <t>family with sequence similarity 19 (chemokine (C-C motif)-like), member A2 [Source:HGNC Symbol;Acc:HGNC:21589]</t>
  </si>
  <si>
    <t>sort1b</t>
  </si>
  <si>
    <t>ENSDARG00000056252</t>
  </si>
  <si>
    <t>sortilin 1b [Source:ZFIN;Acc:ZDB-GENE-030131-7447]</t>
  </si>
  <si>
    <t>rps24</t>
  </si>
  <si>
    <t>ENSDARG00000039347</t>
  </si>
  <si>
    <t>ribosomal protein S24 [Source:ZFIN;Acc:ZDB-GENE-040109-5]</t>
  </si>
  <si>
    <t>myh14</t>
  </si>
  <si>
    <t>ENSDARG00000073732</t>
  </si>
  <si>
    <t>myosin, heavy chain 14, non-muscle [Source:ZFIN;Acc:ZDB-GENE-100921-1]</t>
  </si>
  <si>
    <t>tpgs2</t>
  </si>
  <si>
    <t>ENSDARG00000011926</t>
  </si>
  <si>
    <t>tubulin polyglutamylase complex subunit 2 [Source:ZFIN;Acc:ZDB-GENE-040704-49]</t>
  </si>
  <si>
    <t>mtus1a</t>
  </si>
  <si>
    <t>ENSDARG00000071562</t>
  </si>
  <si>
    <t>microtubule associated tumor suppressor 1a [Source:ZFIN;Acc:ZDB-GENE-061103-409]</t>
  </si>
  <si>
    <t>rps29</t>
  </si>
  <si>
    <t>ENSDARG00000041232</t>
  </si>
  <si>
    <t>ribosomal protein S29 [Source:ZFIN;Acc:ZDB-GENE-040622-5]</t>
  </si>
  <si>
    <t>iqsec1b</t>
  </si>
  <si>
    <t>ENSDARG00000016551</t>
  </si>
  <si>
    <t>IQ motif and Sec7 domain 1b [Source:ZFIN;Acc:ZDB-GENE-120813-1]</t>
  </si>
  <si>
    <t>iscub</t>
  </si>
  <si>
    <t>ENSDARG00000026582</t>
  </si>
  <si>
    <t>iron-sulfur cluster assembly enzyme b [Source:ZFIN;Acc:ZDB-GENE-050417-332]</t>
  </si>
  <si>
    <t>rps9</t>
  </si>
  <si>
    <t>ENSDARG00000011405</t>
  </si>
  <si>
    <t>ribosomal protein S9 [Source:ZFIN;Acc:ZDB-GENE-010724-15]</t>
  </si>
  <si>
    <t>txnipa</t>
  </si>
  <si>
    <t>ENSDARG00000036107</t>
  </si>
  <si>
    <t>thioredoxin interacting protein a [Source:ZFIN;Acc:ZDB-GENE-030804-10]</t>
  </si>
  <si>
    <t>atp8a2</t>
  </si>
  <si>
    <t>ENSDARG00000077492</t>
  </si>
  <si>
    <t>ATPase, aminophospholipid transporter, class I, type 8A, member 2 [Source:ZFIN;Acc:ZDB-GENE-100209-2]</t>
  </si>
  <si>
    <t>rps4x</t>
  </si>
  <si>
    <t>ENSDARG00000014690</t>
  </si>
  <si>
    <t>ribosomal protein S4, X-linked [Source:ZFIN;Acc:ZDB-GENE-040927-19]</t>
  </si>
  <si>
    <t>rpl28</t>
  </si>
  <si>
    <t>ENSDARG00000005791</t>
  </si>
  <si>
    <t>ribosomal protein L28 [Source:ZFIN;Acc:ZDB-GENE-040930-10]</t>
  </si>
  <si>
    <t>cox6c</t>
  </si>
  <si>
    <t>ENSDARG00000038577</t>
  </si>
  <si>
    <t>cytochrome c oxidase subunit VIc [Source:ZFIN;Acc:ZDB-GENE-040724-95]</t>
  </si>
  <si>
    <t>vdac1</t>
  </si>
  <si>
    <t>ENSDARG00000045132</t>
  </si>
  <si>
    <t>voltage-dependent anion channel 1 [Source:ZFIN;Acc:ZDB-GENE-030131-6514]</t>
  </si>
  <si>
    <t>tmsb</t>
  </si>
  <si>
    <t>ENSDARG00000054911</t>
  </si>
  <si>
    <t>thymosin, beta [Source:ZFIN;Acc:ZDB-GENE-050307-5]</t>
  </si>
  <si>
    <t>cetn4</t>
  </si>
  <si>
    <t>ENSDARG00000041215</t>
  </si>
  <si>
    <t>centrin 4 [Source:ZFIN;Acc:ZDB-GENE-030826-21]</t>
  </si>
  <si>
    <t>id1.1</t>
  </si>
  <si>
    <t>ENSDARG00000096939</t>
  </si>
  <si>
    <t>id1</t>
  </si>
  <si>
    <t>phlda2</t>
  </si>
  <si>
    <t>ENSDARG00000042874</t>
  </si>
  <si>
    <t>pleckstrin homology-like domain, family A, member 2 [Source:ZFIN;Acc:ZDB-GENE-050522-73]</t>
  </si>
  <si>
    <t>zgc:153867</t>
  </si>
  <si>
    <t>ENSDARG00000033738</t>
  </si>
  <si>
    <t>zgc:153867 [Source:ZFIN;Acc:ZDB-GENE-030131-9170]</t>
  </si>
  <si>
    <t>gpx1a</t>
  </si>
  <si>
    <t>ENSDARG00000018146</t>
  </si>
  <si>
    <t>glutathione peroxidase 1a [Source:ZFIN;Acc:ZDB-GENE-030410-1]</t>
  </si>
  <si>
    <t>zgc:158254</t>
  </si>
  <si>
    <t>ENSDARG00000071233</t>
  </si>
  <si>
    <t>zgc:158254 [Source:ZFIN;Acc:ZDB-GENE-070112-2222]</t>
  </si>
  <si>
    <t>ift74</t>
  </si>
  <si>
    <t>ENSDARG00000023495</t>
  </si>
  <si>
    <t>intraflagellar transport 74 [Source:ZFIN;Acc:ZDB-GENE-040718-81]</t>
  </si>
  <si>
    <t>CABZ01075627.1</t>
  </si>
  <si>
    <t>ENSDARG00000079046</t>
  </si>
  <si>
    <t>lhx4</t>
  </si>
  <si>
    <t>ENSDARG00000039458</t>
  </si>
  <si>
    <t>LIM homeobox 4 [Source:ZFIN;Acc:ZDB-GENE-060728-1]</t>
  </si>
  <si>
    <t>sgip1a</t>
  </si>
  <si>
    <t>ENSDARG00000097897</t>
  </si>
  <si>
    <t>SH3-domain GRB2-like (endophilin) interacting protein 1a [Source:ZFIN;Acc:ZDB-GENE-131121-25]</t>
  </si>
  <si>
    <t>fbxo32</t>
  </si>
  <si>
    <t>ENSDARG00000040277</t>
  </si>
  <si>
    <t>F-box protein 32 [Source:ZFIN;Acc:ZDB-GENE-040426-1040]</t>
  </si>
  <si>
    <t>rpl7a</t>
  </si>
  <si>
    <t>ENSDARG00000019230</t>
  </si>
  <si>
    <t>ribosomal protein L7a [Source:ZFIN;Acc:ZDB-GENE-031001-9]</t>
  </si>
  <si>
    <t>ift88</t>
  </si>
  <si>
    <t>ENSDARG00000027234</t>
  </si>
  <si>
    <t>intraflagellar transport 88 homolog [Source:ZFIN;Acc:ZDB-GENE-030131-574]</t>
  </si>
  <si>
    <t>scoca</t>
  </si>
  <si>
    <t>ENSDARG00000087333</t>
  </si>
  <si>
    <t>short coiled-coil protein a [Source:ZFIN;Acc:ZDB-GENE-061013-114]</t>
  </si>
  <si>
    <t>USMG5</t>
  </si>
  <si>
    <t>ENSDARG00000096003</t>
  </si>
  <si>
    <t>si:dkeyp-80c12.10 [Source:ZFIN;Acc:ZDB-GENE-110914-234]</t>
  </si>
  <si>
    <t>ift81</t>
  </si>
  <si>
    <t>ENSDARG00000007444</t>
  </si>
  <si>
    <t>intraflagellar transport 81 homolog [Source:ZFIN;Acc:ZDB-GENE-040714-3]</t>
  </si>
  <si>
    <t>ndufb6</t>
  </si>
  <si>
    <t>ENSDARG00000037259</t>
  </si>
  <si>
    <t>NADH dehydrogenase (ubiquinone) 1 beta subcomplex, 6 [Source:ZFIN;Acc:ZDB-GENE-040426-1781]</t>
  </si>
  <si>
    <t>rab4b</t>
  </si>
  <si>
    <t>ENSDARG00000012177</t>
  </si>
  <si>
    <t>RAB4B, member RAS oncogene family [Source:ZFIN;Acc:ZDB-GENE-040822-15]</t>
  </si>
  <si>
    <t>wdr78</t>
  </si>
  <si>
    <t>ENSDARG00000044400</t>
  </si>
  <si>
    <t>WD repeat domain 78 [Source:ZFIN;Acc:ZDB-GENE-050522-322]</t>
  </si>
  <si>
    <t>KIF9</t>
  </si>
  <si>
    <t>ENSDARG00000031693</t>
  </si>
  <si>
    <t>kinesin family member 9 [Source:HGNC Symbol;Acc:HGNC:16666]</t>
  </si>
  <si>
    <t>mcl1b</t>
  </si>
  <si>
    <t>ENSDARG00000008363</t>
  </si>
  <si>
    <t>myeloid cell leukemia 1b [Source:ZFIN;Acc:ZDB-GENE-030825-1]</t>
  </si>
  <si>
    <t>lyar</t>
  </si>
  <si>
    <t>ENSDARG00000098507</t>
  </si>
  <si>
    <t>Ly1 antibody reactive homolog (mouse) [Source:ZFIN;Acc:ZDB-GENE-040426-1414]</t>
  </si>
  <si>
    <t>rps16</t>
  </si>
  <si>
    <t>ENSDARG00000045487</t>
  </si>
  <si>
    <t>ribosomal protein S16 [Source:ZFIN;Acc:ZDB-GENE-050506-107]</t>
  </si>
  <si>
    <t>vwa3a</t>
  </si>
  <si>
    <t>ENSDARG00000087210</t>
  </si>
  <si>
    <t>von Willebrand factor A domain containing 3A [Source:ZFIN;Acc:ZDB-GENE-131121-527]</t>
  </si>
  <si>
    <t>fgfbp1b.1</t>
  </si>
  <si>
    <t>ENSDARG00000091660</t>
  </si>
  <si>
    <t>fgfbp1b</t>
  </si>
  <si>
    <t>fibroblast growth factor binding protein 1b [Source:ZFIN;Acc:ZDB-GENE-081106-1]</t>
  </si>
  <si>
    <t>ift46</t>
  </si>
  <si>
    <t>ENSDARG00000011240</t>
  </si>
  <si>
    <t>intraflagellar transport 46 homolog (Chlamydomonas) [Source:ZFIN;Acc:ZDB-GENE-080102-3]</t>
  </si>
  <si>
    <t>arl2bp</t>
  </si>
  <si>
    <t>ENSDARG00000025383</t>
  </si>
  <si>
    <t>ADP-ribosylation factor-like 2 binding protein [Source:ZFIN;Acc:ZDB-GENE-040426-1604]</t>
  </si>
  <si>
    <t>ndufs7</t>
  </si>
  <si>
    <t>ENSDARG00000074552</t>
  </si>
  <si>
    <t>NADH dehydrogenase (ubiquinone) Fe-S protein 7, (NADH-coenzyme Q reductase) [Source:ZFIN;Acc:ZDB-GENE-041111-261]</t>
  </si>
  <si>
    <t>ndel1a</t>
  </si>
  <si>
    <t>ENSDARG00000010953</t>
  </si>
  <si>
    <t>nudE neurodevelopment protein 1-like 1a [Source:ZFIN;Acc:ZDB-GENE-040115-2]</t>
  </si>
  <si>
    <t>rab3aa</t>
  </si>
  <si>
    <t>ENSDARG00000056347</t>
  </si>
  <si>
    <t>RAB3A, member RAS oncogene family, a [Source:ZFIN;Acc:ZDB-GENE-040801-2]</t>
  </si>
  <si>
    <t>hnrnpa0l</t>
  </si>
  <si>
    <t>ENSDARG00000036161</t>
  </si>
  <si>
    <t>heterogeneous nuclear ribonucleoprotein A0, like [Source:ZFIN;Acc:ZDB-GENE-030131-618]</t>
  </si>
  <si>
    <t>klf17</t>
  </si>
  <si>
    <t>ENSDARG00000038792</t>
  </si>
  <si>
    <t>Kruppel-like factor 17 [Source:ZFIN;Acc:ZDB-GENE-010129-1]</t>
  </si>
  <si>
    <t>rpl32</t>
  </si>
  <si>
    <t>ENSDARG00000054818</t>
  </si>
  <si>
    <t>ribosomal protein L32 [Source:ZFIN;Acc:ZDB-GENE-060331-105]</t>
  </si>
  <si>
    <t>tctex1d1</t>
  </si>
  <si>
    <t>ENSDARG00000103545</t>
  </si>
  <si>
    <t>Tctex1 domain containing 1 [Source:ZFIN;Acc:ZDB-GENE-040912-49]</t>
  </si>
  <si>
    <t>eml2</t>
  </si>
  <si>
    <t>ENSDARG00000008808</t>
  </si>
  <si>
    <t>echinoderm microtubule associated protein like 2 [Source:ZFIN;Acc:ZDB-GENE-050706-71]</t>
  </si>
  <si>
    <t>ldhba</t>
  </si>
  <si>
    <t>ENSDARG00000019644</t>
  </si>
  <si>
    <t>lactate dehydrogenase Ba [Source:ZFIN;Acc:ZDB-GENE-991026-6]</t>
  </si>
  <si>
    <t>ccdc113</t>
  </si>
  <si>
    <t>ENSDARG00000006981</t>
  </si>
  <si>
    <t>coiled-coil domain containing 113 [Source:ZFIN;Acc:ZDB-GENE-041010-163]</t>
  </si>
  <si>
    <t>aifm4</t>
  </si>
  <si>
    <t>ENSDARG00000061634</t>
  </si>
  <si>
    <t>apoptosis-inducing factor, mitochondrion-associated, 4 [Source:ZFIN;Acc:ZDB-GENE-070112-2282]</t>
  </si>
  <si>
    <t>wdr54</t>
  </si>
  <si>
    <t>ENSDARG00000010248</t>
  </si>
  <si>
    <t>WD repeat domain 54 [Source:ZFIN;Acc:ZDB-GENE-040801-151]</t>
  </si>
  <si>
    <t>rab41</t>
  </si>
  <si>
    <t>ENSDARG00000029885</t>
  </si>
  <si>
    <t>RAB41, member RAS oncogene family [Source:ZFIN;Acc:ZDB-GENE-040426-2686]</t>
  </si>
  <si>
    <t>bbs7</t>
  </si>
  <si>
    <t>ENSDARG00000059911</t>
  </si>
  <si>
    <t>Bardet-Biedl syndrome 7 [Source:ZFIN;Acc:ZDB-GENE-030219-90]</t>
  </si>
  <si>
    <t>rpl27</t>
  </si>
  <si>
    <t>ENSDARG00000015128</t>
  </si>
  <si>
    <t>ribosomal protein L27 [Source:ZFIN;Acc:ZDB-GENE-030131-4343]</t>
  </si>
  <si>
    <t>HSPB11</t>
  </si>
  <si>
    <t>ENSDARG00000067777</t>
  </si>
  <si>
    <t>zgc:158640 [Source:ZFIN;Acc:ZDB-GENE-061215-15]</t>
  </si>
  <si>
    <t>rplp2</t>
  </si>
  <si>
    <t>ENSDARG00000101406</t>
  </si>
  <si>
    <t>ribosomal protein, large P2 [Source:ZFIN;Acc:ZDB-GENE-031018-2]</t>
  </si>
  <si>
    <t>pacsin1b</t>
  </si>
  <si>
    <t>ENSDARG00000042128</t>
  </si>
  <si>
    <t>protein kinase C and casein kinase substrate in neurons 1b [Source:ZFIN;Acc:ZDB-GENE-050913-35]</t>
  </si>
  <si>
    <t>zdhhc6</t>
  </si>
  <si>
    <t>ENSDARG00000075721</t>
  </si>
  <si>
    <t>zinc finger, DHHC-type containing 6 [Source:ZFIN;Acc:ZDB-GENE-030131-3189]</t>
  </si>
  <si>
    <t>ndufa7</t>
  </si>
  <si>
    <t>ENSDARG00000036684</t>
  </si>
  <si>
    <t>NADH dehydrogenase (ubiquinone) 1 alpha subcomplex, 7 [Source:ZFIN;Acc:ZDB-GENE-040801-169]</t>
  </si>
  <si>
    <t>ndufa12</t>
  </si>
  <si>
    <t>ENSDARG00000042469</t>
  </si>
  <si>
    <t>NADH dehydrogenase (ubiquinone) 1 alpha subcomplex, 12 [Source:ZFIN;Acc:ZDB-GENE-050828-1]</t>
  </si>
  <si>
    <t>pih1d3</t>
  </si>
  <si>
    <t>ENSDARG00000038612</t>
  </si>
  <si>
    <t>PIH1 domain containing 3 [Source:ZFIN;Acc:ZDB-GENE-040722-2]</t>
  </si>
  <si>
    <t>zgc:174164</t>
  </si>
  <si>
    <t>ENSDARG00000057138</t>
  </si>
  <si>
    <t>zgc:174164 [Source:ZFIN;Acc:ZDB-GENE-030131-4971]</t>
  </si>
  <si>
    <t>si:dkey-242e21.4</t>
  </si>
  <si>
    <t>ENSDARG00000090181</t>
  </si>
  <si>
    <t>si:dkey-242e21.4 [Source:ZFIN;Acc:ZDB-GENE-100921-86]</t>
  </si>
  <si>
    <t>gcnt4a</t>
  </si>
  <si>
    <t>ENSDARG00000035198</t>
  </si>
  <si>
    <t>glucosaminyl (N-acetyl) transferase 4, core 2, a [Source:ZFIN;Acc:ZDB-GENE-030131-3231]</t>
  </si>
  <si>
    <t>acat1</t>
  </si>
  <si>
    <t>ENSDARG00000045888</t>
  </si>
  <si>
    <t>acetyl-CoA acetyltransferase 1 [Source:ZFIN;Acc:ZDB-GENE-040808-68]</t>
  </si>
  <si>
    <t>tusc2a</t>
  </si>
  <si>
    <t>ENSDARG00000099817</t>
  </si>
  <si>
    <t>tumor suppressor candidate 2a [Source:ZFIN;Acc:ZDB-GENE-061013-612]</t>
  </si>
  <si>
    <t>uqcrq</t>
  </si>
  <si>
    <t>ENSDARG00000029064</t>
  </si>
  <si>
    <t>ubiquinol-cytochrome c reductase, complex III subunit VII [Source:ZFIN;Acc:ZDB-GENE-040718-199]</t>
  </si>
  <si>
    <t>GRAMD2</t>
  </si>
  <si>
    <t>ENSDARG00000103736</t>
  </si>
  <si>
    <t>GRAM domain containing 2 [Source:HGNC Symbol;Acc:HGNC:27287]</t>
  </si>
  <si>
    <t>cltcb</t>
  </si>
  <si>
    <t>ENSDARG00000090716</t>
  </si>
  <si>
    <t>clathrin, heavy chain b (Hc) [Source:ZFIN;Acc:ZDB-GENE-050227-12]</t>
  </si>
  <si>
    <t>tnfaip8l1</t>
  </si>
  <si>
    <t>ENSDARG00000086457</t>
  </si>
  <si>
    <t>tumor necrosis factor, alpha-induced protein 8-like 1 [Source:ZFIN;Acc:ZDB-GENE-040426-695]</t>
  </si>
  <si>
    <t>sec61g</t>
  </si>
  <si>
    <t>ENSDARG00000018637</t>
  </si>
  <si>
    <t>Sec61 translocon gamma subunit [Source:ZFIN;Acc:ZDB-GENE-040718-203]</t>
  </si>
  <si>
    <t>nkx3.2</t>
  </si>
  <si>
    <t>ENSDARG00000037639</t>
  </si>
  <si>
    <t>NK3 homeobox 2 [Source:ZFIN;Acc:ZDB-GENE-030127-1]</t>
  </si>
  <si>
    <t>rps7</t>
  </si>
  <si>
    <t>ENSDARG00000042566</t>
  </si>
  <si>
    <t>ribosomal protein S7 [Source:ZFIN;Acc:ZDB-GENE-040426-1718]</t>
  </si>
  <si>
    <t>atpv0e2</t>
  </si>
  <si>
    <t>ENSDARG00000059057</t>
  </si>
  <si>
    <t>ATPase, H+ transporting V0 subunit e2 [Source:ZFIN;Acc:ZDB-GENE-050522-135]</t>
  </si>
  <si>
    <t>rpl18a</t>
  </si>
  <si>
    <t>ENSDARG00000025073</t>
  </si>
  <si>
    <t>ribosomal protein L18a [Source:ZFIN;Acc:ZDB-GENE-040426-1071]</t>
  </si>
  <si>
    <t>dynlt1</t>
  </si>
  <si>
    <t>ENSDARG00000045909</t>
  </si>
  <si>
    <t>dynein, light chain, Tctex-type 1 [Source:ZFIN;Acc:ZDB-GENE-041210-9]</t>
  </si>
  <si>
    <t>ppib</t>
  </si>
  <si>
    <t>ENSDARG00000092798</t>
  </si>
  <si>
    <t>peptidylprolyl isomerase B (cyclophilin B) [Source:ZFIN;Acc:ZDB-GENE-040426-1955]</t>
  </si>
  <si>
    <t>apooa</t>
  </si>
  <si>
    <t>ENSDARG00000104696</t>
  </si>
  <si>
    <t>apolipoprotein O, a [Source:ZFIN;Acc:ZDB-GENE-031118-91]</t>
  </si>
  <si>
    <t>zgc:195356</t>
  </si>
  <si>
    <t>ENSDARG00000099134</t>
  </si>
  <si>
    <t>zgc:195356 [Source:ZFIN;Acc:ZDB-GENE-030131-6619]</t>
  </si>
  <si>
    <t>si:ch211-39i22.1</t>
  </si>
  <si>
    <t>ENSDARG00000087508</t>
  </si>
  <si>
    <t>si:ch211-39i22.1 [Source:ZFIN;Acc:ZDB-GENE-120215-258]</t>
  </si>
  <si>
    <t>gb:bc139872</t>
  </si>
  <si>
    <t>ENSDARG00000086753</t>
  </si>
  <si>
    <t>expressed sequence BC139872 [Source:ZFIN;Acc:ZDB-GENE-111013-4]</t>
  </si>
  <si>
    <t>ttc26</t>
  </si>
  <si>
    <t>ENSDARG00000012039</t>
  </si>
  <si>
    <t>tetratricopeptide repeat domain 26 [Source:ZFIN;Acc:ZDB-GENE-041212-41]</t>
  </si>
  <si>
    <t>spaca4l</t>
  </si>
  <si>
    <t>ENSDARG00000100431</t>
  </si>
  <si>
    <t>sperm acrosome associated 4 like [Source:ZFIN;Acc:ZDB-GENE-101011-2]</t>
  </si>
  <si>
    <t>cox7c</t>
  </si>
  <si>
    <t>ENSDARG00000104537</t>
  </si>
  <si>
    <t>cytochrome c oxidase, subunit VIIc [Source:ZFIN;Acc:ZDB-GENE-030131-8062]</t>
  </si>
  <si>
    <t>gnb2l1</t>
  </si>
  <si>
    <t>ENSDARG00000041619</t>
  </si>
  <si>
    <t>guanine nucleotide binding protein (G protein), beta polypeptide 2-like 1 [Source:ZFIN;Acc:ZDB-GENE-990415-89]</t>
  </si>
  <si>
    <t>btg2</t>
  </si>
  <si>
    <t>ENSDARG00000020298</t>
  </si>
  <si>
    <t>B-cell translocation gene 2 [Source:ZFIN;Acc:ZDB-GENE-000210-15]</t>
  </si>
  <si>
    <t>igfbp5b</t>
  </si>
  <si>
    <t>ENSDARG00000025348</t>
  </si>
  <si>
    <t>insulin-like growth factor binding protein 5b [Source:ZFIN;Acc:ZDB-GENE-040319-2]</t>
  </si>
  <si>
    <t>rps6</t>
  </si>
  <si>
    <t>ENSDARG00000019778</t>
  </si>
  <si>
    <t>ribosomal protein S6 [Source:ZFIN;Acc:ZDB-GENE-040801-8]</t>
  </si>
  <si>
    <t>rps15</t>
  </si>
  <si>
    <t>ENSDARG00000070849</t>
  </si>
  <si>
    <t>ribosomal protein S15 [Source:ZFIN;Acc:ZDB-GENE-030131-9092]</t>
  </si>
  <si>
    <t>rnf34a</t>
  </si>
  <si>
    <t>ENSDARG00000038300</t>
  </si>
  <si>
    <t>ring finger protein 34a [Source:ZFIN;Acc:ZDB-GENE-030131-6135]</t>
  </si>
  <si>
    <t>tusc3</t>
  </si>
  <si>
    <t>ENSDARG00000078854</t>
  </si>
  <si>
    <t>tumor suppressor candidate 3 [Source:ZFIN;Acc:ZDB-GENE-050522-381]</t>
  </si>
  <si>
    <t>rps25</t>
  </si>
  <si>
    <t>ENSDARG00000041811</t>
  </si>
  <si>
    <t>ribosomal protein S25 [Source:ZFIN;Acc:ZDB-GENE-040426-1788]</t>
  </si>
  <si>
    <t>si:dkey-13n15.2</t>
  </si>
  <si>
    <t>ENSDARG00000094417</t>
  </si>
  <si>
    <t>si:dkey-13n15.2 [Source:ZFIN;Acc:ZDB-GENE-060526-209]</t>
  </si>
  <si>
    <t>man2a2</t>
  </si>
  <si>
    <t>ENSDARG00000063101</t>
  </si>
  <si>
    <t>mannosidase, alpha, class 2A, member 2 [Source:ZFIN;Acc:ZDB-GENE-110331-1]</t>
  </si>
  <si>
    <t>faxdc2</t>
  </si>
  <si>
    <t>ENSDARG00000023820</t>
  </si>
  <si>
    <t>fatty acid hydroxylase domain containing 2 [Source:ZFIN;Acc:ZDB-GENE-040426-2907]</t>
  </si>
  <si>
    <t>net1</t>
  </si>
  <si>
    <t>ENSDARG00000032765</t>
  </si>
  <si>
    <t>neuroepithelial cell transforming 1 [Source:ZFIN;Acc:ZDB-GENE-041121-18]</t>
  </si>
  <si>
    <t>rpl5b</t>
  </si>
  <si>
    <t>ENSDARG00000015862</t>
  </si>
  <si>
    <t>ribosomal protein L5b [Source:ZFIN;Acc:ZDB-GENE-040625-93]</t>
  </si>
  <si>
    <t>cox8a</t>
  </si>
  <si>
    <t>ENSDARG00000095273</t>
  </si>
  <si>
    <t>cytochrome c oxidase subunit VIIIA (ubiquitous) [Source:ZFIN;Acc:ZDB-GENE-030131-9136]</t>
  </si>
  <si>
    <t>atoh1a</t>
  </si>
  <si>
    <t>ENSDARG00000055294</t>
  </si>
  <si>
    <t>atonal bHLH transcription factor 1a [Source:ZFIN;Acc:ZDB-GENE-990415-17]</t>
  </si>
  <si>
    <t>si:ch211-117m20.5</t>
  </si>
  <si>
    <t>ENSDARG00000091996</t>
  </si>
  <si>
    <t>si:ch211-117m20.5 [Source:ZFIN;Acc:ZDB-GENE-030131-12]</t>
  </si>
  <si>
    <t>icn</t>
  </si>
  <si>
    <t>ENSDARG00000009978</t>
  </si>
  <si>
    <t>ictacalcin [Source:ZFIN;Acc:ZDB-GENE-030131-8599]</t>
  </si>
  <si>
    <t>rpl15</t>
  </si>
  <si>
    <t>ENSDARG00000009285</t>
  </si>
  <si>
    <t>ribosomal protein L15 [Source:ZFIN;Acc:ZDB-GENE-040801-183]</t>
  </si>
  <si>
    <t>atp6v1f</t>
  </si>
  <si>
    <t>ENSDARG00000045543</t>
  </si>
  <si>
    <t>ATPase, H+ transporting, lysosomal, V1 subunit F [Source:ZFIN;Acc:ZDB-GENE-040718-259]</t>
  </si>
  <si>
    <t>kpnb3</t>
  </si>
  <si>
    <t>ENSDARG00000040245</t>
  </si>
  <si>
    <t>karyopherin (importin) beta 3 [Source:ZFIN;Acc:ZDB-GENE-030424-2]</t>
  </si>
  <si>
    <t>cst14b.1</t>
  </si>
  <si>
    <t>ENSDARG00000045980</t>
  </si>
  <si>
    <t>cystatin 14b, tandem duplicate 1 [Source:ZFIN;Acc:ZDB-GENE-061013-189]</t>
  </si>
  <si>
    <t>ndufb5</t>
  </si>
  <si>
    <t>ENSDARG00000070824</t>
  </si>
  <si>
    <t>NADH dehydrogenase (ubiquinone) 1 beta subcomplex 5 [Source:ZFIN;Acc:ZDB-GENE-011010-1]</t>
  </si>
  <si>
    <t>capgb</t>
  </si>
  <si>
    <t>ENSDARG00000099672</t>
  </si>
  <si>
    <t>capping protein (actin filament), gelsolin-like b [Source:ZFIN;Acc:ZDB-GENE-030131-8541]</t>
  </si>
  <si>
    <t>si:ch73-209e20.6</t>
  </si>
  <si>
    <t>ENSDARG00000103528</t>
  </si>
  <si>
    <t>si:ch73-209e20.6 [Source:ZFIN;Acc:ZDB-GENE-120215-114]</t>
  </si>
  <si>
    <t>phkg2</t>
  </si>
  <si>
    <t>ENSDARG00000054208</t>
  </si>
  <si>
    <t>phosphorylase kinase, gamma 2 (testis) [Source:ZFIN;Acc:ZDB-GENE-040426-825]</t>
  </si>
  <si>
    <t>rpl10</t>
  </si>
  <si>
    <t>ENSDARG00000025581</t>
  </si>
  <si>
    <t>ribosomal protein L10 [Source:ZFIN;Acc:ZDB-GENE-030131-8656]</t>
  </si>
  <si>
    <t>si:ch73-308b14.1</t>
  </si>
  <si>
    <t>ENSDARG00000095351</t>
  </si>
  <si>
    <t>si:ch73-308b14.1 [Source:ZFIN;Acc:ZDB-GENE-091204-411]</t>
  </si>
  <si>
    <t>ndufa3</t>
  </si>
  <si>
    <t>ENSDARG00000041400</t>
  </si>
  <si>
    <t>NADH dehydrogenase (ubiquinone) 1 alpha subcomplex, 3 [Source:ZFIN;Acc:ZDB-GENE-040801-18]</t>
  </si>
  <si>
    <t>si:dkeyp-110e4.6</t>
  </si>
  <si>
    <t>ENSDARG00000061845</t>
  </si>
  <si>
    <t>si:dkeyp-110e4.6 [Source:ZFIN;Acc:ZDB-GENE-030219-75]</t>
  </si>
  <si>
    <t>pkig</t>
  </si>
  <si>
    <t>ENSDARG00000086471</t>
  </si>
  <si>
    <t>protein kinase (cAMP-dependent, catalytic) inhibitor gamma [Source:ZFIN;Acc:ZDB-GENE-050302-97]</t>
  </si>
  <si>
    <t>mdh2</t>
  </si>
  <si>
    <t>ENSDARG00000043371</t>
  </si>
  <si>
    <t>malate dehydrogenase 2, NAD (mitochondrial) [Source:ZFIN;Acc:ZDB-GENE-040426-2143]</t>
  </si>
  <si>
    <t>hacd3</t>
  </si>
  <si>
    <t>ENSDARG00000016038</t>
  </si>
  <si>
    <t>3-hydroxyacyl-CoA dehydratase 3 [Source:ZFIN;Acc:ZDB-GENE-040426-1200]</t>
  </si>
  <si>
    <t>gbas</t>
  </si>
  <si>
    <t>ENSDARG00000007264</t>
  </si>
  <si>
    <t>glioblastoma amplified sequence [Source:ZFIN;Acc:ZDB-GENE-991008-18]</t>
  </si>
  <si>
    <t>si:ch211-195b11.3</t>
  </si>
  <si>
    <t>ENSDARG00000100582</t>
  </si>
  <si>
    <t>si:ch211-195b11.3 [Source:ZFIN;Acc:ZDB-GENE-141222-6]</t>
  </si>
  <si>
    <t>rpl30</t>
  </si>
  <si>
    <t>ENSDARG00000035871</t>
  </si>
  <si>
    <t>ribosomal protein L30 [Source:ZFIN;Acc:ZDB-GENE-030131-8657]</t>
  </si>
  <si>
    <t>rps11</t>
  </si>
  <si>
    <t>ENSDARG00000053058</t>
  </si>
  <si>
    <t>ribosomal protein S11 [Source:ZFIN;Acc:ZDB-GENE-040426-2701]</t>
  </si>
  <si>
    <t>zgc:173570</t>
  </si>
  <si>
    <t>ENSDARG00000037645</t>
  </si>
  <si>
    <t>zgc:173570 [Source:ZFIN;Acc:ZDB-GENE-080218-15]</t>
  </si>
  <si>
    <t>rpl7</t>
  </si>
  <si>
    <t>ENSDARG00000007320</t>
  </si>
  <si>
    <t>ribosomal protein L7 [Source:ZFIN;Acc:ZDB-GENE-030131-8654]</t>
  </si>
  <si>
    <t>atp5ib</t>
  </si>
  <si>
    <t>ENSDARG00000068940</t>
  </si>
  <si>
    <t>ATP synthase, H+ transporting, mitochondrial Fo complex, subunit Eb [Source:ZFIN;Acc:ZDB-GENE-051130-1]</t>
  </si>
  <si>
    <t>rpl21</t>
  </si>
  <si>
    <t>ENSDARG00000010516</t>
  </si>
  <si>
    <t>ribosomal protein L21 [Source:ZFIN;Acc:ZDB-GENE-030131-8512]</t>
  </si>
  <si>
    <t>si:dkey-188i13.11</t>
  </si>
  <si>
    <t>ENSDARG00000092895</t>
  </si>
  <si>
    <t>si:dkey-188i13.11 [Source:ZFIN;Acc:ZDB-GENE-090313-209]</t>
  </si>
  <si>
    <t>fzr1b</t>
  </si>
  <si>
    <t>ENSDARG00000022810</t>
  </si>
  <si>
    <t>fizzy/cell division cycle 20 related 1b [Source:ZFIN;Acc:ZDB-GENE-131120-69]</t>
  </si>
  <si>
    <t>ndufa4l</t>
  </si>
  <si>
    <t>ENSDARG00000099499</t>
  </si>
  <si>
    <t>NADH dehydrogenase (ubiquinone) 1 alpha subcomplex 4, like [Source:ZFIN;Acc:ZDB-GENE-040426-2756]</t>
  </si>
  <si>
    <t>arl5a</t>
  </si>
  <si>
    <t>ENSDARG00000018627</t>
  </si>
  <si>
    <t>ADP-ribosylation factor-like 5A [Source:ZFIN;Acc:ZDB-GENE-040718-28]</t>
  </si>
  <si>
    <t>capn8</t>
  </si>
  <si>
    <t>ENSDARG00000055715</t>
  </si>
  <si>
    <t>calpain 8 [Source:ZFIN;Acc:ZDB-GENE-050522-279]</t>
  </si>
  <si>
    <t>anp32e</t>
  </si>
  <si>
    <t>ENSDARG00000054804</t>
  </si>
  <si>
    <t>acidic (leucine-rich) nuclear phosphoprotein 32 family, member E [Source:ZFIN;Acc:ZDB-GENE-040426-2448]</t>
  </si>
  <si>
    <t>TMC5</t>
  </si>
  <si>
    <t>ENSDARG00000013252</t>
  </si>
  <si>
    <t>si:dkey-202l16.5 [Source:ZFIN;Acc:ZDB-GENE-120411-6]</t>
  </si>
  <si>
    <t>elovl4a</t>
  </si>
  <si>
    <t>ENSDARG00000006773</t>
  </si>
  <si>
    <t>ELOVL fatty acid elongase 4a [Source:ZFIN;Acc:ZDB-GENE-040426-1767]</t>
  </si>
  <si>
    <t>faua</t>
  </si>
  <si>
    <t>ENSDARG00000099022</t>
  </si>
  <si>
    <t>Finkel-Biskis-Reilly murine sarcoma virus (FBR-MuSV) ubiquitously expressed a [Source:ZFIN;Acc:ZDB-GENE-040426-1700]</t>
  </si>
  <si>
    <t>glulb</t>
  </si>
  <si>
    <t>ENSDARG00000100003</t>
  </si>
  <si>
    <t>glutamate-ammonia ligase (glutamine synthase) b [Source:ZFIN;Acc:ZDB-GENE-030131-8417]</t>
  </si>
  <si>
    <t>rps18</t>
  </si>
  <si>
    <t>ENSDARG00000100392</t>
  </si>
  <si>
    <t>ribosomal protein S18 [Source:ZFIN;Acc:ZDB-GENE-020419-20]</t>
  </si>
  <si>
    <t>UQCR10</t>
  </si>
  <si>
    <t>ENSDARG00000104517</t>
  </si>
  <si>
    <t>cytochrome b-c1 complex subunit 9 (LOC100333064), mRNA [Source:RefSeq mRNA;Acc:NM_001302478]</t>
  </si>
  <si>
    <t>ccdc106a</t>
  </si>
  <si>
    <t>ENSDARG00000004211</t>
  </si>
  <si>
    <t>coiled-coil domain containing 106a [Source:ZFIN;Acc:ZDB-GENE-050220-4]</t>
  </si>
  <si>
    <t>chchd10</t>
  </si>
  <si>
    <t>ENSDARG00000010717</t>
  </si>
  <si>
    <t>coiled-coil-helix-coiled-coil-helix domain containing 10 [Source:ZFIN;Acc:ZDB-GENE-040426-1753]</t>
  </si>
  <si>
    <t>minos1</t>
  </si>
  <si>
    <t>ENSDARG00000101619</t>
  </si>
  <si>
    <t>mitochondrial inner membrane organizing system 1 [Source:ZFIN;Acc:ZDB-GENE-060825-325]</t>
  </si>
  <si>
    <t>rfx2</t>
  </si>
  <si>
    <t>ENSDARG00000013575</t>
  </si>
  <si>
    <t>regulatory factor X, 2 (influences HLA class II expression) [Source:ZFIN;Acc:ZDB-GENE-050227-4]</t>
  </si>
  <si>
    <t>rpl17</t>
  </si>
  <si>
    <t>ENSDARG00000057556</t>
  </si>
  <si>
    <t>ribosomal protein L17 [Source:ZFIN;Acc:ZDB-GENE-030131-8585]</t>
  </si>
  <si>
    <t>dynll2b</t>
  </si>
  <si>
    <t>ENSDARG00000005172</t>
  </si>
  <si>
    <t>dynein, light chain, LC8-type 2b [Source:ZFIN;Acc:ZDB-GENE-050320-132]</t>
  </si>
  <si>
    <t>eef1da</t>
  </si>
  <si>
    <t>ENSDARG00000102291</t>
  </si>
  <si>
    <t>eukaryotic translation elongation factor 1 delta a (guanine nucleotide exchange protein) [Source:ZFIN;Acc:ZDB-GENE-040426-2740]</t>
  </si>
  <si>
    <t>rpl23a</t>
  </si>
  <si>
    <t>ENSDARG00000006316</t>
  </si>
  <si>
    <t>ribosomal protein L23a [Source:ZFIN;Acc:ZDB-GENE-030131-7479]</t>
  </si>
  <si>
    <t>clgn</t>
  </si>
  <si>
    <t>ENSDARG00000009315</t>
  </si>
  <si>
    <t>calmegin [Source:ZFIN;Acc:ZDB-GENE-060929-708]</t>
  </si>
  <si>
    <t>rps2</t>
  </si>
  <si>
    <t>ENSDARG00000077291</t>
  </si>
  <si>
    <t>ribosomal protein S2 [Source:ZFIN;Acc:ZDB-GENE-040426-2454]</t>
  </si>
  <si>
    <t>CR847847.1</t>
  </si>
  <si>
    <t>ENSDARG00000087096</t>
  </si>
  <si>
    <t>skor1b</t>
  </si>
  <si>
    <t>ENSDARG00000062448</t>
  </si>
  <si>
    <t>SKI family transcriptional corepressor 1b [Source:ZFIN;Acc:ZDB-GENE-050419-82]</t>
  </si>
  <si>
    <t>serinc1</t>
  </si>
  <si>
    <t>ENSDARG00000009106</t>
  </si>
  <si>
    <t>serine incorporator 1 [Source:ZFIN;Acc:ZDB-GENE-030131-4415]</t>
  </si>
  <si>
    <t>mt-cyb</t>
  </si>
  <si>
    <t>ENSDARG00000063924</t>
  </si>
  <si>
    <t>cytochrome b, mitochondrial [Source:ZFIN;Acc:ZDB-GENE-011205-17]</t>
  </si>
  <si>
    <t>si:dkey-222f2.1</t>
  </si>
  <si>
    <t>ENSDARG00000043242</t>
  </si>
  <si>
    <t>si:dkey-222f2.1 [Source:ZFIN;Acc:ZDB-GENE-050208-726]</t>
  </si>
  <si>
    <t>sqrdl</t>
  </si>
  <si>
    <t>ENSDARG00000017034</t>
  </si>
  <si>
    <t>sulfide quinone reductase-like (yeast) [Source:ZFIN;Acc:ZDB-GENE-050417-436]</t>
  </si>
  <si>
    <t>tmem53</t>
  </si>
  <si>
    <t>ENSDARG00000038789</t>
  </si>
  <si>
    <t>transmembrane protein 53 [Source:ZFIN;Acc:ZDB-GENE-040718-384]</t>
  </si>
  <si>
    <t>tnks1bp1</t>
  </si>
  <si>
    <t>ENSDARG00000068760</t>
  </si>
  <si>
    <t>tankyrase 1 binding protein 1 [Source:ZFIN;Acc:ZDB-GENE-050208-317]</t>
  </si>
  <si>
    <t>vapb</t>
  </si>
  <si>
    <t>ENSDARG00000070435</t>
  </si>
  <si>
    <t>VAMP (vesicle-associated membrane protein)-associated protein B and C [Source:ZFIN;Acc:ZDB-GENE-030131-2348]</t>
  </si>
  <si>
    <t>rpl8</t>
  </si>
  <si>
    <t>ENSDARG00000014867</t>
  </si>
  <si>
    <t>ribosomal protein L8 [Source:ZFIN;Acc:ZDB-GENE-040426-1670]</t>
  </si>
  <si>
    <t>PSMB10</t>
  </si>
  <si>
    <t>ENSDARG00000043781</t>
  </si>
  <si>
    <t>zgc:92791 [Source:ZFIN;Acc:ZDB-GENE-040718-278]</t>
  </si>
  <si>
    <t>ufd1l</t>
  </si>
  <si>
    <t>ENSDARG00000010051</t>
  </si>
  <si>
    <t>ubiquitin fusion degradation 1 like (yeast) [Source:ZFIN;Acc:ZDB-GENE-040718-150]</t>
  </si>
  <si>
    <t>rogdi</t>
  </si>
  <si>
    <t>ENSDARG00000104413</t>
  </si>
  <si>
    <t>rogdi homolog (Drosophila) [Source:ZFIN;Acc:ZDB-GENE-030131-7582]</t>
  </si>
  <si>
    <t>pax2a</t>
  </si>
  <si>
    <t>ENSDARG00000028148</t>
  </si>
  <si>
    <t>paired box 2a [Source:ZFIN;Acc:ZDB-GENE-990415-8]</t>
  </si>
  <si>
    <t>si:dkey-226k3.4</t>
  </si>
  <si>
    <t>ENSDARG00000090634</t>
  </si>
  <si>
    <t>si:dkey-226k3.4 [Source:ZFIN;Acc:ZDB-GENE-031118-211]</t>
  </si>
  <si>
    <t>pgk1</t>
  </si>
  <si>
    <t>ENSDARG00000054191</t>
  </si>
  <si>
    <t>phosphoglycerate kinase 1 [Source:ZFIN;Acc:ZDB-GENE-040426-2711]</t>
  </si>
  <si>
    <t>atp6v1c1a</t>
  </si>
  <si>
    <t>ENSDARG00000023967</t>
  </si>
  <si>
    <t>ATPase, H+ transporting, lysosomal, V1 subunit C1a [Source:ZFIN;Acc:ZDB-GENE-030616-612]</t>
  </si>
  <si>
    <t>flr</t>
  </si>
  <si>
    <t>ENSDARG00000038024</t>
  </si>
  <si>
    <t>fleer [Source:ZFIN;Acc:ZDB-GENE-070117-2066]</t>
  </si>
  <si>
    <t>cox6b1</t>
  </si>
  <si>
    <t>ENSDARG00000045230</t>
  </si>
  <si>
    <t>cytochrome c oxidase subunit VIb polypeptide 1 [Source:ZFIN;Acc:ZDB-GENE-040718-448]</t>
  </si>
  <si>
    <t>prelid1a</t>
  </si>
  <si>
    <t>ENSDARG00000098671</t>
  </si>
  <si>
    <t>PRELI domain containing 1a [Source:ZFIN;Acc:ZDB-GENE-040426-1341]</t>
  </si>
  <si>
    <t>atp5o</t>
  </si>
  <si>
    <t>ENSDARG00000001788</t>
  </si>
  <si>
    <t>ATP synthase, H+ transporting, mitochondrial F1 complex, O subunit [Source:ZFIN;Acc:ZDB-GENE-050522-147]</t>
  </si>
  <si>
    <t>ptmaa</t>
  </si>
  <si>
    <t>ENSDARG00000021113</t>
  </si>
  <si>
    <t>prothymosin, alpha a [Source:ZFIN;Acc:ZDB-GENE-030131-7647]</t>
  </si>
  <si>
    <t>pcdh7b</t>
  </si>
  <si>
    <t>ENSDARG00000060610</t>
  </si>
  <si>
    <t>protocadherin 7b [Source:ZFIN;Acc:ZDB-GENE-081104-299]</t>
  </si>
  <si>
    <t>lrba</t>
  </si>
  <si>
    <t>ENSDARG00000031108</t>
  </si>
  <si>
    <t>LPS-responsive vesicle trafficking, beach and anchor containing [Source:ZFIN;Acc:ZDB-GENE-090311-19]</t>
  </si>
  <si>
    <t>ppiaa</t>
  </si>
  <si>
    <t>ENSDARG00000009212</t>
  </si>
  <si>
    <t>peptidylprolyl isomerase Aa (cyclophilin A) [Source:ZFIN;Acc:ZDB-GENE-030131-8556]</t>
  </si>
  <si>
    <t>klf18</t>
  </si>
  <si>
    <t>ENSDARG00000018757</t>
  </si>
  <si>
    <t>Kruppel-like factor 18 [Source:ZFIN;Acc:ZDB-GENE-060312-34]</t>
  </si>
  <si>
    <t>atp6v0b</t>
  </si>
  <si>
    <t>ENSDARG00000031681</t>
  </si>
  <si>
    <t>ATPase, H+ transporting, lysosomal V0 subunit b [Source:ZFIN;Acc:ZDB-GENE-030131-443]</t>
  </si>
  <si>
    <t>cox5aa</t>
  </si>
  <si>
    <t>ENSDARG00000088383</t>
  </si>
  <si>
    <t>cytochrome c oxidase subunit Vaa [Source:ZFIN;Acc:ZDB-GENE-050522-133]</t>
  </si>
  <si>
    <t>ubtd2</t>
  </si>
  <si>
    <t>ENSDARG00000069184</t>
  </si>
  <si>
    <t>ubiquitin domain containing 2 [Source:ZFIN;Acc:ZDB-GENE-040718-473]</t>
  </si>
  <si>
    <t>atp6v0ca</t>
  </si>
  <si>
    <t>ENSDARG00000057853</t>
  </si>
  <si>
    <t>ATPase, H+ transporting, lysosomal, V0 subunit ca [Source:ZFIN;Acc:ZDB-GENE-020419-23]</t>
  </si>
  <si>
    <t>selm</t>
  </si>
  <si>
    <t>ENSDARG00000051957</t>
  </si>
  <si>
    <t>selenoprotein M [Source:ZFIN;Acc:ZDB-GENE-030410-4]</t>
  </si>
  <si>
    <t>dctn3</t>
  </si>
  <si>
    <t>ENSDARG00000041363</t>
  </si>
  <si>
    <t>dynactin 3 (p22) [Source:ZFIN;Acc:ZDB-GENE-040704-65]</t>
  </si>
  <si>
    <t>RPS17</t>
  </si>
  <si>
    <t>ENSDARG00000046157</t>
  </si>
  <si>
    <t>zgc:114188 [Source:ZFIN;Acc:ZDB-GENE-050320-15]</t>
  </si>
  <si>
    <t>ift20</t>
  </si>
  <si>
    <t>ENSDARG00000040556</t>
  </si>
  <si>
    <t>intraflagellar transport 20 homolog (Chlamydomonas) [Source:ZFIN;Acc:ZDB-GENE-040614-2]</t>
  </si>
  <si>
    <t>irf7</t>
  </si>
  <si>
    <t>ENSDARG00000045661</t>
  </si>
  <si>
    <t>interferon regulatory factor 7 [Source:ZFIN;Acc:ZDB-GENE-040426-1518]</t>
  </si>
  <si>
    <t>zgc:77880</t>
  </si>
  <si>
    <t>ENSDARG00000030563</t>
  </si>
  <si>
    <t>zgc:77880 [Source:ZFIN;Acc:ZDB-GENE-040426-1901]</t>
  </si>
  <si>
    <t>cisd1</t>
  </si>
  <si>
    <t>ENSDARG00000079516</t>
  </si>
  <si>
    <t>CDGSH iron sulfur domain 1 [Source:ZFIN;Acc:ZDB-GENE-040426-1162]</t>
  </si>
  <si>
    <t>pank2</t>
  </si>
  <si>
    <t>ENSDARG00000003311</t>
  </si>
  <si>
    <t>pantothenate kinase 2 [Source:ZFIN;Acc:ZDB-GENE-070112-1952]</t>
  </si>
  <si>
    <t>cish</t>
  </si>
  <si>
    <t>ENSDARG00000060316</t>
  </si>
  <si>
    <t>cytokine inducible SH2-containing protein [Source:ZFIN;Acc:ZDB-GENE-050907-1]</t>
  </si>
  <si>
    <t>ahcyl2</t>
  </si>
  <si>
    <t>ENSDARG00000039343</t>
  </si>
  <si>
    <t>adenosylhomocysteinase-like 2 [Source:ZFIN;Acc:ZDB-GENE-040115-5]</t>
  </si>
  <si>
    <t>asb8</t>
  </si>
  <si>
    <t>ENSDARG00000003383</t>
  </si>
  <si>
    <t>ankyrin repeat and SOCS box containing 8 [Source:ZFIN;Acc:ZDB-GENE-030131-5411]</t>
  </si>
  <si>
    <t>rps5</t>
  </si>
  <si>
    <t>ENSDARG00000043453</t>
  </si>
  <si>
    <t>ribosomal protein S5 [Source:ZFIN;Acc:ZDB-GENE-020419-12]</t>
  </si>
  <si>
    <t>dlx3b</t>
  </si>
  <si>
    <t>ENSDARG00000014626</t>
  </si>
  <si>
    <t>distal-less homeobox 3b [Source:ZFIN;Acc:ZDB-GENE-980526-280]</t>
  </si>
  <si>
    <t>pole4</t>
  </si>
  <si>
    <t>ENSDARG00000013016</t>
  </si>
  <si>
    <t>polymerase (DNA-directed), epsilon 4, accessory subunit [Source:ZFIN;Acc:ZDB-GENE-050522-309]</t>
  </si>
  <si>
    <t>NDUFC1</t>
  </si>
  <si>
    <t>ENSDARG00000103101</t>
  </si>
  <si>
    <t>si:ch211-235e9.6 [Source:ZFIN;Acc:ZDB-GENE-141216-417]</t>
  </si>
  <si>
    <t>cox7b</t>
  </si>
  <si>
    <t>ENSDARG00000098250</t>
  </si>
  <si>
    <t>cytochrome c oxidase subunit VIIb [Source:ZFIN;Acc:ZDB-GENE-030131-6602]</t>
  </si>
  <si>
    <t>pgd</t>
  </si>
  <si>
    <t>ENSDARG00000015343</t>
  </si>
  <si>
    <t>phosphogluconate dehydrogenase [Source:ZFIN;Acc:ZDB-GENE-040426-2807]</t>
  </si>
  <si>
    <t>rpl19</t>
  </si>
  <si>
    <t>ENSDARG00000013307</t>
  </si>
  <si>
    <t>ribosomal protein L19 [Source:ZFIN;Acc:ZDB-GENE-040426-2290]</t>
  </si>
  <si>
    <t>ccdc92</t>
  </si>
  <si>
    <t>ENSDARG00000041750</t>
  </si>
  <si>
    <t>coiled-coil domain containing 92 [Source:ZFIN;Acc:ZDB-GENE-051113-120]</t>
  </si>
  <si>
    <t>GABARAPL1</t>
  </si>
  <si>
    <t>ENSDARG00000040971</t>
  </si>
  <si>
    <t>zgc:92606 [Source:ZFIN;Acc:ZDB-GENE-040718-462]</t>
  </si>
  <si>
    <t>nap1l4b</t>
  </si>
  <si>
    <t>ENSDARG00000068868</t>
  </si>
  <si>
    <t>nucleosome assembly protein 1-like 4b [Source:ZFIN;Acc:ZDB-GENE-041114-168]</t>
  </si>
  <si>
    <t>atp6v1d</t>
  </si>
  <si>
    <t>ENSDARG00000011175</t>
  </si>
  <si>
    <t>ATPase, H+ transporting, lysosomal V1 subunit D [Source:ZFIN;Acc:ZDB-GENE-040426-727]</t>
  </si>
  <si>
    <t>rps26</t>
  </si>
  <si>
    <t>ENSDARG00000037071</t>
  </si>
  <si>
    <t>ribosomal protein S26 [Source:ZFIN;Acc:ZDB-GENE-030131-8606]</t>
  </si>
  <si>
    <t>katnal1</t>
  </si>
  <si>
    <t>ENSDARG00000099156</t>
  </si>
  <si>
    <t>katanin p60 subunit A-like 1 [Source:ZFIN;Acc:ZDB-GENE-041114-141]</t>
  </si>
  <si>
    <t>agbl5</t>
  </si>
  <si>
    <t>ENSDARG00000045900</t>
  </si>
  <si>
    <t>ATP/GTP binding protein-like 5 [Source:ZFIN;Acc:ZDB-GENE-040822-29]</t>
  </si>
  <si>
    <t>cfl1l</t>
  </si>
  <si>
    <t>ENSDARG00000012972</t>
  </si>
  <si>
    <t>cofilin 1 (non-muscle), like [Source:ZFIN;Acc:ZDB-GENE-040426-2770]</t>
  </si>
  <si>
    <t>mdh1aa</t>
  </si>
  <si>
    <t>ENSDARG00000017772</t>
  </si>
  <si>
    <t>malate dehydrogenase 1Aa, NAD (soluble) [Source:ZFIN;Acc:ZDB-GENE-040204-1]</t>
  </si>
  <si>
    <t>wrb</t>
  </si>
  <si>
    <t>ENSDARG00000074271</t>
  </si>
  <si>
    <t>tryptophan rich basic protein [Source:ZFIN;Acc:ZDB-GENE-030131-7696]</t>
  </si>
  <si>
    <t>KCNIP4</t>
  </si>
  <si>
    <t>ENSDARG00000088100</t>
  </si>
  <si>
    <t>Kv channel interacting protein 4 [Source:HGNC Symbol;Acc:HGNC:30083]</t>
  </si>
  <si>
    <t>soul2</t>
  </si>
  <si>
    <t>ENSDARG00000039499</t>
  </si>
  <si>
    <t>heme-binding protein soul2 [Source:ZFIN;Acc:ZDB-GENE-030131-2524]</t>
  </si>
  <si>
    <t>pabpc1b</t>
  </si>
  <si>
    <t>ENSDARG00000021140</t>
  </si>
  <si>
    <t>poly A binding protein, cytoplasmic 1 b [Source:ZFIN;Acc:ZDB-GENE-050308-1]</t>
  </si>
  <si>
    <t>ndufb3</t>
  </si>
  <si>
    <t>ENSDARG00000075709</t>
  </si>
  <si>
    <t>NADH dehydrogenase (ubiquinone) 1 beta subcomplex, 3 [Source:EntrezGene;Acc:100332034]</t>
  </si>
  <si>
    <t>fzd7b</t>
  </si>
  <si>
    <t>ENSDARG00000027589</t>
  </si>
  <si>
    <t>frizzled class receptor 7b [Source:ZFIN;Acc:ZDB-GENE-990415-229]</t>
  </si>
  <si>
    <t>pak1</t>
  </si>
  <si>
    <t>ENSDARG00000103959</t>
  </si>
  <si>
    <t>p21 protein (Cdc42/Rac)-activated kinase 1 [Source:ZFIN;Acc:ZDB-GENE-030826-29]</t>
  </si>
  <si>
    <t>fxyd6l</t>
  </si>
  <si>
    <t>ENSDARG00000097057</t>
  </si>
  <si>
    <t>FXYD domain containing ion transport regulator 6 like [Source:ZFIN;Acc:ZDB-GENE-071205-8]</t>
  </si>
  <si>
    <t>calcoco1a</t>
  </si>
  <si>
    <t>ENSDARG00000036695</t>
  </si>
  <si>
    <t>calcium binding and coiled-coil domain 1a [Source:ZFIN;Acc:ZDB-GENE-030131-6911]</t>
  </si>
  <si>
    <t>ndufa11</t>
  </si>
  <si>
    <t>ENSDARG00000042777</t>
  </si>
  <si>
    <t>NADH dehydrogenase (ubiquinone) 1 alpha subcomplex, 11 [Source:ZFIN;Acc:ZDB-GENE-040426-1631]</t>
  </si>
  <si>
    <t>hadhaa</t>
  </si>
  <si>
    <t>ENSDARG00000057128</t>
  </si>
  <si>
    <t>hydroxyacyl-CoA dehydrogenase/3-ketoacyl-CoA thiolase/enoyl-CoA hydratase (trifunctional protein), alpha subunit a [Source:ZFIN;Acc:ZDB-GENE-031222-5]</t>
  </si>
  <si>
    <t>fam213aa</t>
  </si>
  <si>
    <t>ENSDARG00000057378</t>
  </si>
  <si>
    <t>family with sequence similarity 213, member Aa [Source:ZFIN;Acc:ZDB-GENE-030131-2459]</t>
  </si>
  <si>
    <t>mapre3b</t>
  </si>
  <si>
    <t>ENSDARG00000102878</t>
  </si>
  <si>
    <t>microtubule-associated protein, RP/EB family, member 3b [Source:ZFIN;Acc:ZDB-GENE-040704-6]</t>
  </si>
  <si>
    <t>cpe</t>
  </si>
  <si>
    <t>ENSDARG00000055874</t>
  </si>
  <si>
    <t>carboxypeptidase E [Source:ZFIN;Acc:ZDB-GENE-090313-68]</t>
  </si>
  <si>
    <t>cox17</t>
  </si>
  <si>
    <t>ENSDARG00000069920</t>
  </si>
  <si>
    <t>COX17 cytochrome c oxidase copper chaperone [Source:ZFIN;Acc:ZDB-GENE-040912-91]</t>
  </si>
  <si>
    <t>eya1</t>
  </si>
  <si>
    <t>ENSDARG00000014259</t>
  </si>
  <si>
    <t>EYA transcriptional coactivator and phosphatase 1 [Source:ZFIN;Acc:ZDB-GENE-990712-18]</t>
  </si>
  <si>
    <t>cbln20</t>
  </si>
  <si>
    <t>ENSDARG00000087476</t>
  </si>
  <si>
    <t>cerebellin 20 [Source:ZFIN;Acc:ZDB-GENE-111109-2]</t>
  </si>
  <si>
    <t>sox21a</t>
  </si>
  <si>
    <t>ENSDARG00000031664</t>
  </si>
  <si>
    <t>SRY (sex determining region Y)-box 21a [Source:ZFIN;Acc:ZDB-GENE-990715-6]</t>
  </si>
  <si>
    <t>si:ch211-153b23.5</t>
  </si>
  <si>
    <t>ENSDARG00000058206</t>
  </si>
  <si>
    <t>si:ch211-153b23.5 [Source:ZFIN;Acc:ZDB-GENE-030131-9744]</t>
  </si>
  <si>
    <t>rab11ba</t>
  </si>
  <si>
    <t>ENSDARG00000041878</t>
  </si>
  <si>
    <t>RAB11B, member RAS oncogene family, a [Source:ZFIN;Acc:ZDB-GENE-040426-2860]</t>
  </si>
  <si>
    <t>hddc2</t>
  </si>
  <si>
    <t>ENSDARG00000034957</t>
  </si>
  <si>
    <t>HD domain containing 2 [Source:ZFIN;Acc:ZDB-GENE-050522-394]</t>
  </si>
  <si>
    <t>prdx5</t>
  </si>
  <si>
    <t>ENSDARG00000055064</t>
  </si>
  <si>
    <t>peroxiredoxin 5 [Source:ZFIN;Acc:ZDB-GENE-050522-159]</t>
  </si>
  <si>
    <t>rpz5</t>
  </si>
  <si>
    <t>ENSDARG00000075718</t>
  </si>
  <si>
    <t>rapunzel 5 [Source:ZFIN;Acc:ZDB-GENE-030131-4678]</t>
  </si>
  <si>
    <t>tpi1b</t>
  </si>
  <si>
    <t>ENSDARG00000040988</t>
  </si>
  <si>
    <t>triosephosphate isomerase 1b [Source:ZFIN;Acc:ZDB-GENE-020416-4]</t>
  </si>
  <si>
    <t>irak1bp1</t>
  </si>
  <si>
    <t>ENSDARG00000036903</t>
  </si>
  <si>
    <t>interleukin-1 receptor-associated kinase 1 binding protein 1 [Source:ZFIN;Acc:ZDB-GENE-050522-272]</t>
  </si>
  <si>
    <t>ndufs2</t>
  </si>
  <si>
    <t>ENSDARG00000007526</t>
  </si>
  <si>
    <t>NADH dehydrogenase (ubiquinone) Fe-S protein 2 [Source:ZFIN;Acc:ZDB-GENE-050522-273]</t>
  </si>
  <si>
    <t>moxd1l</t>
  </si>
  <si>
    <t>ENSDARG00000069296</t>
  </si>
  <si>
    <t>monooxygenase, DBH-like 1, like [Source:ZFIN;Acc:ZDB-GENE-060126-3]</t>
  </si>
  <si>
    <t>lysmd2</t>
  </si>
  <si>
    <t>ENSDARG00000091771</t>
  </si>
  <si>
    <t>LysM, putative peptidoglycan-binding, domain containing 2 [Source:ZFIN;Acc:ZDB-GENE-040801-250]</t>
  </si>
  <si>
    <t>rpl31</t>
  </si>
  <si>
    <t>ENSDARG00000053365</t>
  </si>
  <si>
    <t>ribosomal protein L31 [Source:ZFIN;Acc:ZDB-GENE-060331-121]</t>
  </si>
  <si>
    <t>hspa4l</t>
  </si>
  <si>
    <t>ENSDARG00000053544</t>
  </si>
  <si>
    <t>heat shock protein 4 like [Source:ZFIN;Acc:ZDB-GENE-030131-2412]</t>
  </si>
  <si>
    <t>fcho2</t>
  </si>
  <si>
    <t>ENSDARG00000035389</t>
  </si>
  <si>
    <t>FCH domain only 2 [Source:ZFIN;Acc:ZDB-GENE-050522-228]</t>
  </si>
  <si>
    <t>rps3</t>
  </si>
  <si>
    <t>ENSDARG00000103007</t>
  </si>
  <si>
    <t>ribosomal protein S3 [Source:ZFIN;Acc:ZDB-GENE-030131-8494]</t>
  </si>
  <si>
    <t>spag1a</t>
  </si>
  <si>
    <t>ENSDARG00000004017</t>
  </si>
  <si>
    <t>sperm associated antigen 1a [Source:ZFIN;Acc:ZDB-GENE-030131-9443]</t>
  </si>
  <si>
    <t>hsp90b1</t>
  </si>
  <si>
    <t>ENSDARG00000003570</t>
  </si>
  <si>
    <t>heat shock protein 90, beta (grp94), member 1 [Source:ZFIN;Acc:ZDB-GENE-031002-1]</t>
  </si>
  <si>
    <t>higd1a</t>
  </si>
  <si>
    <t>ENSDARG00000022303</t>
  </si>
  <si>
    <t>HIG1 hypoxia inducible domain family, member 1A [Source:ZFIN;Acc:ZDB-GENE-030826-15]</t>
  </si>
  <si>
    <t>reep3b</t>
  </si>
  <si>
    <t>ENSDARG00000004160</t>
  </si>
  <si>
    <t>receptor accessory protein 3b [Source:ZFIN;Acc:ZDB-GENE-040426-730]</t>
  </si>
  <si>
    <t>ywhaz</t>
  </si>
  <si>
    <t>ENSDARG00000032575</t>
  </si>
  <si>
    <t>tyrosine 3-monooxygenase/tryptophan 5-monooxygenase activation protein, zeta polypeptide [Source:ZFIN;Acc:ZDB-GENE-030131-8554]</t>
  </si>
  <si>
    <t>ndufa9a</t>
  </si>
  <si>
    <t>ENSDARG00000070723</t>
  </si>
  <si>
    <t>NADH dehydrogenase (ubiquinone) 1 alpha subcomplex, 9a [Source:ZFIN;Acc:ZDB-GENE-050320-20]</t>
  </si>
  <si>
    <t>mt-co2</t>
  </si>
  <si>
    <t>ENSDARG00000063908</t>
  </si>
  <si>
    <t>cytochrome c oxidase II, mitochondrial [Source:ZFIN;Acc:ZDB-GENE-011205-15]</t>
  </si>
  <si>
    <t>ptges3a</t>
  </si>
  <si>
    <t>ENSDARG00000037284</t>
  </si>
  <si>
    <t>prostaglandin E synthase 3a (cytosolic) [Source:ZFIN;Acc:ZDB-GENE-040426-2200]</t>
  </si>
  <si>
    <t>sod2</t>
  </si>
  <si>
    <t>ENSDARG00000042644</t>
  </si>
  <si>
    <t>superoxide dismutase 2, mitochondrial [Source:ZFIN;Acc:ZDB-GENE-030131-7742]</t>
  </si>
  <si>
    <t>ndufb8</t>
  </si>
  <si>
    <t>ENSDARG00000010113</t>
  </si>
  <si>
    <t>NADH dehydrogenase (ubiquinone) 1 beta subcomplex, 8 [Source:ZFIN;Acc:ZDB-GENE-040426-1858]</t>
  </si>
  <si>
    <t>rpl13a</t>
  </si>
  <si>
    <t>ENSDARG00000044093</t>
  </si>
  <si>
    <t>ribosomal protein L13a [Source:ZFIN;Acc:ZDB-GENE-030131-168]</t>
  </si>
  <si>
    <t>dldh</t>
  </si>
  <si>
    <t>ENSDARG00000008785</t>
  </si>
  <si>
    <t>dihydrolipoamide dehydrogenase [Source:ZFIN;Acc:ZDB-GENE-040120-4]</t>
  </si>
  <si>
    <t>zgc:113162</t>
  </si>
  <si>
    <t>ENSDARG00000052923</t>
  </si>
  <si>
    <t>zgc:113162 [Source:ZFIN;Acc:ZDB-GENE-050522-530]</t>
  </si>
  <si>
    <t>ldha</t>
  </si>
  <si>
    <t>ENSDARG00000101251</t>
  </si>
  <si>
    <t>lactate dehydrogenase A4 [Source:ZFIN;Acc:ZDB-GENE-991026-5]</t>
  </si>
  <si>
    <t>cmc4</t>
  </si>
  <si>
    <t>ENSDARG00000100774</t>
  </si>
  <si>
    <t>C-x(9)-C motif containing 4 homolog (S. cerevisiae) [Source:ZFIN;Acc:ZDB-GENE-120216-1]</t>
  </si>
  <si>
    <t>tbc1d14</t>
  </si>
  <si>
    <t>ENSDARG00000003520</t>
  </si>
  <si>
    <t>TBC1 domain family, member 14 [Source:ZFIN;Acc:ZDB-GENE-030131-6136]</t>
  </si>
  <si>
    <t>rps27a</t>
  </si>
  <si>
    <t>ENSDARG00000032725</t>
  </si>
  <si>
    <t>ribosomal protein S27a [Source:ZFIN;Acc:ZDB-GENE-030131-10018]</t>
  </si>
  <si>
    <t>zgc:193541</t>
  </si>
  <si>
    <t>ENSDARG00000092873</t>
  </si>
  <si>
    <t>zgc:193541 [Source:ZFIN;Acc:ZDB-GENE-081022-15]</t>
  </si>
  <si>
    <t>fbxo34</t>
  </si>
  <si>
    <t>ENSDARG00000071259</t>
  </si>
  <si>
    <t>F-box protein 34 [Source:ZFIN;Acc:ZDB-GENE-030131-2194]</t>
  </si>
  <si>
    <t>ndufa8</t>
  </si>
  <si>
    <t>ENSDARG00000058041</t>
  </si>
  <si>
    <t>NADH dehydrogenase (ubiquinone) 1 alpha subcomplex, 8 [Source:ZFIN;Acc:ZDB-GENE-040426-1688]</t>
  </si>
  <si>
    <t>atp5c1</t>
  </si>
  <si>
    <t>ENSDARG00000045514</t>
  </si>
  <si>
    <t>ATP synthase, H+ transporting, mitochondrial F1 complex, gamma polypeptide 1 [Source:ZFIN;Acc:ZDB-GENE-030131-8901]</t>
  </si>
  <si>
    <t>fus</t>
  </si>
  <si>
    <t>ENSDARG00000037968</t>
  </si>
  <si>
    <t>FUS RNA binding protein [Source:ZFIN;Acc:ZDB-GENE-040426-1010]</t>
  </si>
  <si>
    <t>tceb2.1</t>
  </si>
  <si>
    <t>ENSDARG00000037980</t>
  </si>
  <si>
    <t>tceb2</t>
  </si>
  <si>
    <t>transcription elongation factor B (SIII), polypeptide 2 [Source:ZFIN;Acc:ZDB-GENE-020415-1]</t>
  </si>
  <si>
    <t>si:ch1073-325m22.2</t>
  </si>
  <si>
    <t>ENSDARG00000095921</t>
  </si>
  <si>
    <t>si:ch1073-325m22.2 [Source:ZFIN;Acc:ZDB-GENE-030131-6614]</t>
  </si>
  <si>
    <t>trappc4</t>
  </si>
  <si>
    <t>ENSDARG00000027418</t>
  </si>
  <si>
    <t>trafficking protein particle complex 4 [Source:ZFIN;Acc:ZDB-GENE-040426-1734]</t>
  </si>
  <si>
    <t>bckdha</t>
  </si>
  <si>
    <t>ENSDARG00000040555</t>
  </si>
  <si>
    <t>branched chain keto acid dehydrogenase E1, alpha polypeptide [Source:ZFIN;Acc:ZDB-GENE-050522-376]</t>
  </si>
  <si>
    <t>atp5h</t>
  </si>
  <si>
    <t>ENSDARG00000098355</t>
  </si>
  <si>
    <t>ATP synthase, H+ transporting, mitochondrial Fo complex, subunit d [Source:ZFIN;Acc:ZDB-GENE-040426-1658]</t>
  </si>
  <si>
    <t>atp6v1h</t>
  </si>
  <si>
    <t>ENSDARG00000006370</t>
  </si>
  <si>
    <t>ATPase, H+ transporting, lysosomal V1 subunit H [Source:ZFIN;Acc:ZDB-GENE-021219-2]</t>
  </si>
  <si>
    <t>btc</t>
  </si>
  <si>
    <t>ENSDARG00000098112</t>
  </si>
  <si>
    <t>betacellulin, epidermal growth factor family member [Source:ZFIN;Acc:ZDB-GENE-050311-1]</t>
  </si>
  <si>
    <t>fam168b</t>
  </si>
  <si>
    <t>ENSDARG00000101733</t>
  </si>
  <si>
    <t>family with sequence similarity 168, member B [Source:ZFIN;Acc:ZDB-GENE-060929-180]</t>
  </si>
  <si>
    <t>fkbp1aa</t>
  </si>
  <si>
    <t>ENSDARG00000022684</t>
  </si>
  <si>
    <t>FK506 binding protein 1Aa [Source:ZFIN;Acc:ZDB-GENE-030131-7275]</t>
  </si>
  <si>
    <t>oaz1b</t>
  </si>
  <si>
    <t>ENSDARG00000104782</t>
  </si>
  <si>
    <t>ornithine decarboxylase antizyme 1b [Source:ZFIN;Acc:ZDB-GENE-020731-5]</t>
  </si>
  <si>
    <t>fdps</t>
  </si>
  <si>
    <t>ENSDARG00000040890</t>
  </si>
  <si>
    <t>farnesyl diphosphate synthase (farnesyl pyrophosphate synthetase, dimethylallyltranstransferase, geranyltranstransferase) [Source:ZFIN;Acc:ZDB-GENE-050506-78]</t>
  </si>
  <si>
    <t>eef1b2</t>
  </si>
  <si>
    <t>ENSDARG00000044521</t>
  </si>
  <si>
    <t>eukaryotic translation elongation factor 1 beta 2 [Source:ZFIN;Acc:ZDB-GENE-030131-7310]</t>
  </si>
  <si>
    <t>mt-nd3</t>
  </si>
  <si>
    <t>ENSDARG00000063914</t>
  </si>
  <si>
    <t>NADH dehydrogenase 3, mitochondrial [Source:ZFIN;Acc:ZDB-GENE-011205-9]</t>
  </si>
  <si>
    <t>si:dkey-42i9.4</t>
  </si>
  <si>
    <t>ENSDARG00000008049</t>
  </si>
  <si>
    <t>si:dkey-42i9.4 [Source:ZFIN;Acc:ZDB-GENE-030131-8398]</t>
  </si>
  <si>
    <t>rpl5a</t>
  </si>
  <si>
    <t>ENSDARG00000020197</t>
  </si>
  <si>
    <t>ribosomal protein L5a [Source:ZFIN;Acc:ZDB-GENE-030131-5161]</t>
  </si>
  <si>
    <t>pdia4</t>
  </si>
  <si>
    <t>ENSDARG00000018491</t>
  </si>
  <si>
    <t>protein disulfide isomerase family A, member 4 [Source:ZFIN;Acc:ZDB-GENE-030131-5493]</t>
  </si>
  <si>
    <t>ndufv1</t>
  </si>
  <si>
    <t>ENSDARG00000036438</t>
  </si>
  <si>
    <t>NADH dehydrogenase (ubiquinone) flavoprotein 1 [Source:ZFIN;Acc:ZDB-GENE-040808-73]</t>
  </si>
  <si>
    <t>si:dkeyp-67f1.2</t>
  </si>
  <si>
    <t>ENSDARG00000091625</t>
  </si>
  <si>
    <t>si:dkeyp-67f1.2 [Source:ZFIN;Acc:ZDB-GENE-050809-90]</t>
  </si>
  <si>
    <t>mtpn</t>
  </si>
  <si>
    <t>ENSDARG00000104018</t>
  </si>
  <si>
    <t>myotrophin [Source:ZFIN;Acc:ZDB-GENE-040426-2166]</t>
  </si>
  <si>
    <t>ndufs4</t>
  </si>
  <si>
    <t>ENSDARG00000052840</t>
  </si>
  <si>
    <t>NADH dehydrogenase (ubiquinone) Fe-S protein 4, (NADH-coenzyme Q reductase) [Source:ZFIN;Acc:ZDB-GENE-050522-421]</t>
  </si>
  <si>
    <t>mt-co1</t>
  </si>
  <si>
    <t>ENSDARG00000063905</t>
  </si>
  <si>
    <t>cytochrome c oxidase I, mitochondrial [Source:ZFIN;Acc:ZDB-GENE-011205-14]</t>
  </si>
  <si>
    <t>si:ch211-229d2.5</t>
  </si>
  <si>
    <t>ENSDARG00000079119</t>
  </si>
  <si>
    <t>si:ch211-229d2.5 [Source:ZFIN;Acc:ZDB-GENE-121214-200]</t>
  </si>
  <si>
    <t>ssr4</t>
  </si>
  <si>
    <t>ENSDARG00000019444</t>
  </si>
  <si>
    <t>signal sequence receptor, delta [Source:ZFIN;Acc:ZDB-GENE-030131-4900]</t>
  </si>
  <si>
    <t>ier2</t>
  </si>
  <si>
    <t>ENSDARG00000099195</t>
  </si>
  <si>
    <t>immediate early response 2 [Source:ZFIN;Acc:ZDB-GENE-030131-9126]</t>
  </si>
  <si>
    <t>spag7</t>
  </si>
  <si>
    <t>ENSDARG00000011555</t>
  </si>
  <si>
    <t>sperm associated antigen 7 [Source:ZFIN;Acc:ZDB-GENE-040426-1632]</t>
  </si>
  <si>
    <t>pnrc2</t>
  </si>
  <si>
    <t>ENSDARG00000053291</t>
  </si>
  <si>
    <t>proline-rich nuclear receptor coactivator 2 [Source:ZFIN;Acc:ZDB-GENE-030131-5475]</t>
  </si>
  <si>
    <t>anapc13</t>
  </si>
  <si>
    <t>ENSDARG00000078435</t>
  </si>
  <si>
    <t>anaphase promoting complex subunit 13 [Source:ZFIN;Acc:ZDB-GENE-091204-298]</t>
  </si>
  <si>
    <t>uqcrfs1</t>
  </si>
  <si>
    <t>ENSDARG00000007745</t>
  </si>
  <si>
    <t>ubiquinol-cytochrome c reductase, Rieske iron-sulfur polypeptide 1 [Source:ZFIN;Acc:ZDB-GENE-040426-2060]</t>
  </si>
  <si>
    <t>ctsf</t>
  </si>
  <si>
    <t>ENSDARG00000063095</t>
  </si>
  <si>
    <t>cathepsin F [Source:ZFIN;Acc:ZDB-GENE-030131-9831]</t>
  </si>
  <si>
    <t>ndufb10</t>
  </si>
  <si>
    <t>ENSDARG00000028889</t>
  </si>
  <si>
    <t>NADH dehydrogenase (ubiquinone) 1 beta subcomplex, 10 [Source:ZFIN;Acc:ZDB-GENE-040426-1691]</t>
  </si>
  <si>
    <t>IDH2</t>
  </si>
  <si>
    <t>ENSDARG00000003795</t>
  </si>
  <si>
    <t>isocitrate dehydrogenase 2 (NADP+), mitochondrial [Source:HGNC Symbol;Acc:HGNC:5383]</t>
  </si>
  <si>
    <t>ube2q1</t>
  </si>
  <si>
    <t>ENSDARG00000100766</t>
  </si>
  <si>
    <t>ubiquitin-conjugating enzyme E2Q family member 1 [Source:ZFIN;Acc:ZDB-GENE-050522-329]</t>
  </si>
  <si>
    <t>nfu1</t>
  </si>
  <si>
    <t>ENSDARG00000068125</t>
  </si>
  <si>
    <t>NFU1 iron-sulfur cluster scaffold homolog (S. cerevisiae) [Source:ZFIN;Acc:ZDB-GENE-050417-365]</t>
  </si>
  <si>
    <t>rps23</t>
  </si>
  <si>
    <t>ENSDARG00000021838</t>
  </si>
  <si>
    <t>ribosomal protein S23 [Source:ZFIN;Acc:ZDB-GENE-080220-50]</t>
  </si>
  <si>
    <t>sdhb</t>
  </si>
  <si>
    <t>ENSDARG00000075768</t>
  </si>
  <si>
    <t>succinate dehydrogenase complex, subunit B, iron sulfur (Ip) [Source:ZFIN;Acc:ZDB-GENE-030131-8005]</t>
  </si>
  <si>
    <t>hsd17b10</t>
  </si>
  <si>
    <t>ENSDARG00000017781</t>
  </si>
  <si>
    <t>hydroxysteroid (17-beta) dehydrogenase 10 [Source:ZFIN;Acc:ZDB-GENE-041010-201]</t>
  </si>
  <si>
    <t>oaz1a</t>
  </si>
  <si>
    <t>ENSDARG00000071403</t>
  </si>
  <si>
    <t>ornithine decarboxylase antizyme 1a [Source:ZFIN;Acc:ZDB-GENE-020731-4]</t>
  </si>
  <si>
    <t>si:dkey-16l2.20</t>
  </si>
  <si>
    <t>ENSDARG00000098191</t>
  </si>
  <si>
    <t>si:dkey-16l2.20 [Source:ZFIN;Acc:ZDB-GENE-141212-380]</t>
  </si>
  <si>
    <t>calr3a</t>
  </si>
  <si>
    <t>ENSDARG00000103979</t>
  </si>
  <si>
    <t>calreticulin 3a [Source:ZFIN;Acc:ZDB-GENE-000208-17]</t>
  </si>
  <si>
    <t>htatip2</t>
  </si>
  <si>
    <t>ENSDARG00000028386</t>
  </si>
  <si>
    <t>HIV-1 Tat interactive protein 2 [Source:ZFIN;Acc:ZDB-GENE-001219-1]</t>
  </si>
  <si>
    <t>nap1l1</t>
  </si>
  <si>
    <t>ENSDARG00000101813</t>
  </si>
  <si>
    <t>nucleosome assembly protein 1-like 1 [Source:ZFIN;Acc:ZDB-GENE-030516-2]</t>
  </si>
  <si>
    <t>tspan35</t>
  </si>
  <si>
    <t>ENSDARG00000025757</t>
  </si>
  <si>
    <t>tetraspanin 35 [Source:ZFIN;Acc:ZDB-GENE-040426-1362]</t>
  </si>
  <si>
    <t>chrac1</t>
  </si>
  <si>
    <t>ENSDARG00000042337</t>
  </si>
  <si>
    <t>chromatin accessibility complex 1 [Source:ZFIN;Acc:ZDB-GENE-050227-18]</t>
  </si>
  <si>
    <t>gsta.1</t>
  </si>
  <si>
    <t>ENSDARG00000090228</t>
  </si>
  <si>
    <t>glutathione S-transferase, alpha tandem duplicate 1 [Source:ZFIN;Acc:ZDB-GENE-040426-2720]</t>
  </si>
  <si>
    <t>tssc4</t>
  </si>
  <si>
    <t>ENSDARG00000036144</t>
  </si>
  <si>
    <t>tumor suppressing subtransferable candidate 4 [Source:ZFIN;Acc:ZDB-GENE-060825-263]</t>
  </si>
  <si>
    <t>mob3a</t>
  </si>
  <si>
    <t>ENSDARG00000019113</t>
  </si>
  <si>
    <t>MOB kinase activator 3A [Source:ZFIN;Acc:ZDB-GENE-030131-4091]</t>
  </si>
  <si>
    <t>slc1a3a</t>
  </si>
  <si>
    <t>ENSDARG00000104431</t>
  </si>
  <si>
    <t>solute carrier family 1 (glial high affinity glutamate transporter), member 3a [Source:ZFIN;Acc:ZDB-GENE-030131-2159]</t>
  </si>
  <si>
    <t>retsat</t>
  </si>
  <si>
    <t>ENSDARG00000018600</t>
  </si>
  <si>
    <t>retinol saturase (all-trans-retinol 13,14-reductase) [Source:ZFIN;Acc:ZDB-GENE-050320-11]</t>
  </si>
  <si>
    <t>sec61b</t>
  </si>
  <si>
    <t>ENSDARG00000076568</t>
  </si>
  <si>
    <t>Sec61 translocon beta subunit [Source:ZFIN;Acc:ZDB-GENE-040718-260]</t>
  </si>
  <si>
    <t>si:dkey-87o1.2</t>
  </si>
  <si>
    <t>ENSDARG00000095796</t>
  </si>
  <si>
    <t>si:dkey-87o1.2 [Source:ZFIN;Acc:ZDB-GENE-110411-217]</t>
  </si>
  <si>
    <t>hbegfa</t>
  </si>
  <si>
    <t>ENSDARG00000075121</t>
  </si>
  <si>
    <t>heparin-binding EGF-like growth factor a [Source:ZFIN;Acc:ZDB-GENE-080204-119]</t>
  </si>
  <si>
    <t>nrd1a</t>
  </si>
  <si>
    <t>ENSDARG00000019596</t>
  </si>
  <si>
    <t>nardilysin a (N-arginine dibasic convertase) [Source:ZFIN;Acc:ZDB-GENE-070912-417]</t>
  </si>
  <si>
    <t>lsm12a</t>
  </si>
  <si>
    <t>ENSDARG00000028848</t>
  </si>
  <si>
    <t>LSM12 homolog a [Source:ZFIN;Acc:ZDB-GENE-040516-12]</t>
  </si>
  <si>
    <t>uqcrc1</t>
  </si>
  <si>
    <t>ENSDARG00000052304</t>
  </si>
  <si>
    <t>ubiquinol-cytochrome c reductase core protein I [Source:ZFIN;Acc:ZDB-GENE-040426-1792]</t>
  </si>
  <si>
    <t>cox4i1</t>
  </si>
  <si>
    <t>ENSDARG00000032970</t>
  </si>
  <si>
    <t>cytochrome c oxidase subunit IV isoform 1 [Source:ZFIN;Acc:ZDB-GENE-030131-5175]</t>
  </si>
  <si>
    <t>suclg1</t>
  </si>
  <si>
    <t>ENSDARG00000052712</t>
  </si>
  <si>
    <t>succinate-CoA ligase, alpha subunit [Source:ZFIN;Acc:ZDB-GENE-040912-101]</t>
  </si>
  <si>
    <t>nek7</t>
  </si>
  <si>
    <t>ENSDARG00000056966</t>
  </si>
  <si>
    <t>NIMA-related kinase 7 [Source:ZFIN;Acc:ZDB-GENE-040801-136]</t>
  </si>
  <si>
    <t>hmgcs1</t>
  </si>
  <si>
    <t>ENSDARG00000103025</t>
  </si>
  <si>
    <t>3-hydroxy-3-methylglutaryl-CoA synthase 1 (soluble) [Source:ZFIN;Acc:ZDB-GENE-040426-1042]</t>
  </si>
  <si>
    <t>mt-co3</t>
  </si>
  <si>
    <t>ENSDARG00000063912</t>
  </si>
  <si>
    <t>cytochrome c oxidase III, mitochondrial [Source:ZFIN;Acc:ZDB-GENE-011205-16]</t>
  </si>
  <si>
    <t>h3f3b.1.2</t>
  </si>
  <si>
    <t>ENSDARG00000045248</t>
  </si>
  <si>
    <t>h3f3b.1</t>
  </si>
  <si>
    <t>H3 histone, family 3B.1 [Source:ZFIN;Acc:ZDB-GENE-050417-65]</t>
  </si>
  <si>
    <t>cltca</t>
  </si>
  <si>
    <t>ENSDARG00000043493</t>
  </si>
  <si>
    <t>clathrin, heavy chain a (Hc) [Source:ZFIN;Acc:ZDB-GENE-030131-2299]</t>
  </si>
  <si>
    <t>wu:fj16a03</t>
  </si>
  <si>
    <t>ENSDARG00000100952</t>
  </si>
  <si>
    <t>wu:fj16a03 [Source:EntrezGene;Acc:335475]</t>
  </si>
  <si>
    <t>ccdc115</t>
  </si>
  <si>
    <t>ENSDARG00000033533</t>
  </si>
  <si>
    <t>coiled-coil domain containing 115 [Source:ZFIN;Acc:ZDB-GENE-050227-20]</t>
  </si>
  <si>
    <t>ndufs6</t>
  </si>
  <si>
    <t>ENSDARG00000056583</t>
  </si>
  <si>
    <t>NADH dehydrogenase (ubiquinone) Fe-S protein 6 [Source:ZFIN;Acc:ZDB-GENE-040912-86]</t>
  </si>
  <si>
    <t>dbi</t>
  </si>
  <si>
    <t>ENSDARG00000026369</t>
  </si>
  <si>
    <t>diazepam binding inhibitor (GABA receptor modulator, acyl-CoA binding protein) [Source:ZFIN;Acc:ZDB-GENE-040426-1861]</t>
  </si>
  <si>
    <t>si:dkey-152p16.6</t>
  </si>
  <si>
    <t>ENSDARG00000104181</t>
  </si>
  <si>
    <t>si:dkey-152p16.6 [Source:ZFIN;Acc:ZDB-GENE-030131-8575]</t>
  </si>
  <si>
    <t>pllp</t>
  </si>
  <si>
    <t>ENSDARG00000062756</t>
  </si>
  <si>
    <t>plasmolipin [Source:ZFIN;Acc:ZDB-GENE-050419-195]</t>
  </si>
  <si>
    <t>ndufa1</t>
  </si>
  <si>
    <t>ENSDARG00000036329</t>
  </si>
  <si>
    <t>NADH dehydrogenase (ubiquinone) 1 alpha subcomplex, 1 [Source:ZFIN;Acc:ZDB-GENE-040625-168]</t>
  </si>
  <si>
    <t>ndufb11</t>
  </si>
  <si>
    <t>ENSDARG00000043467</t>
  </si>
  <si>
    <t>NADH dehydrogenase (ubiquinone) 1 beta subcomplex, 11 [Source:ZFIN;Acc:ZDB-GENE-050309-25]</t>
  </si>
  <si>
    <t>dpcd</t>
  </si>
  <si>
    <t>ENSDARG00000060501</t>
  </si>
  <si>
    <t>deleted in primary ciliary dyskinesia homolog (mouse) [Source:ZFIN;Acc:ZDB-GENE-060825-166]</t>
  </si>
  <si>
    <t>krt5</t>
  </si>
  <si>
    <t>ENSDARG00000058371</t>
  </si>
  <si>
    <t>keratin 5 [Source:ZFIN;Acc:ZDB-GENE-991110-23]</t>
  </si>
  <si>
    <t>aco2</t>
  </si>
  <si>
    <t>ENSDARG00000007294</t>
  </si>
  <si>
    <t>aconitase 2, mitochondrial [Source:ZFIN;Acc:ZDB-GENE-030131-1390]</t>
  </si>
  <si>
    <t>mrpl20</t>
  </si>
  <si>
    <t>ENSDARG00000090462</t>
  </si>
  <si>
    <t>mitochondrial ribosomal protein L20 [Source:ZFIN;Acc:ZDB-GENE-030131-5299]</t>
  </si>
  <si>
    <t>rps26l</t>
  </si>
  <si>
    <t>ENSDARG00000030408</t>
  </si>
  <si>
    <t>ribosomal protein S26, like [Source:ZFIN;Acc:ZDB-GENE-040426-1706]</t>
  </si>
  <si>
    <t>cadm4</t>
  </si>
  <si>
    <t>ENSDARG00000040291</t>
  </si>
  <si>
    <t>cell adhesion molecule 4 [Source:ZFIN;Acc:ZDB-GENE-041114-138]</t>
  </si>
  <si>
    <t>klf2a</t>
  </si>
  <si>
    <t>ENSDARG00000042667</t>
  </si>
  <si>
    <t>Kruppel-like factor 2a [Source:ZFIN;Acc:ZDB-GENE-011109-1]</t>
  </si>
  <si>
    <t>alas1</t>
  </si>
  <si>
    <t>ENSDARG00000021059</t>
  </si>
  <si>
    <t>aminolevulinate, delta-, synthase 1 [Source:ZFIN;Acc:ZDB-GENE-001229-2]</t>
  </si>
  <si>
    <t>got2b</t>
  </si>
  <si>
    <t>ENSDARG00000005840</t>
  </si>
  <si>
    <t>glutamic-oxaloacetic transaminase 2b, mitochondrial [Source:ZFIN;Acc:ZDB-GENE-030131-7917]</t>
  </si>
  <si>
    <t>slc7a11</t>
  </si>
  <si>
    <t>ENSDARG00000071384</t>
  </si>
  <si>
    <t>solute carrier family 7 (anionic amino acid transporter light chain, xc- system), member 11 [Source:ZFIN;Acc:ZDB-GENE-150416-1]</t>
  </si>
  <si>
    <t>pdcl</t>
  </si>
  <si>
    <t>ENSDARG00000009480</t>
  </si>
  <si>
    <t>phosducin-like [Source:ZFIN;Acc:ZDB-GENE-030131-2365]</t>
  </si>
  <si>
    <t>slc25a3b</t>
  </si>
  <si>
    <t>ENSDARG00000025566</t>
  </si>
  <si>
    <t>solute carrier family 25 (mitochondrial carrier; phosphate carrier), member 3b [Source:ZFIN;Acc:ZDB-GENE-040426-1916]</t>
  </si>
  <si>
    <t>atp5j</t>
  </si>
  <si>
    <t>ENSDARG00000014313</t>
  </si>
  <si>
    <t>ATP synthase, H+ transporting, mitochondrial Fo complex, subunit F6 [Source:ZFIN;Acc:ZDB-GENE-040426-2534]</t>
  </si>
  <si>
    <t>tsc22d1</t>
  </si>
  <si>
    <t>ENSDARG00000038306</t>
  </si>
  <si>
    <t>TSC22 domain family, member 1 [Source:ZFIN;Acc:ZDB-GENE-030131-7785]</t>
  </si>
  <si>
    <t>prss60.2</t>
  </si>
  <si>
    <t>ENSDARG00000055644</t>
  </si>
  <si>
    <t>protease, serine, 60.2 [Source:ZFIN;Acc:ZDB-GENE-050320-109]</t>
  </si>
  <si>
    <t>cops5</t>
  </si>
  <si>
    <t>ENSDARG00000057624</t>
  </si>
  <si>
    <t>COP9 signalosome subunit 5 [Source:ZFIN;Acc:ZDB-GENE-040426-1686]</t>
  </si>
  <si>
    <t>krt15</t>
  </si>
  <si>
    <t>ENSDARG00000036840</t>
  </si>
  <si>
    <t>keratin 15 [Source:ZFIN;Acc:ZDB-GENE-040426-2931]</t>
  </si>
  <si>
    <t>ndufa5</t>
  </si>
  <si>
    <t>ENSDARG00000039346</t>
  </si>
  <si>
    <t>NADH dehydrogenase (ubiquinone) 1 alpha subcomplex, 5 [Source:ZFIN;Acc:ZDB-GENE-050320-17]</t>
  </si>
  <si>
    <t>si:ch211-114n24.6</t>
  </si>
  <si>
    <t>ENSDARG00000036700</t>
  </si>
  <si>
    <t>si:ch211-114n24.6 [Source:ZFIN;Acc:ZDB-GENE-120214-26]</t>
  </si>
  <si>
    <t>si:ch211-194i10.5</t>
  </si>
  <si>
    <t>ENSDARG00000037867</t>
  </si>
  <si>
    <t>si:ch211-194i10.5 [Source:ZFIN;Acc:ZDB-GENE-131120-154]</t>
  </si>
  <si>
    <t>dnajb11</t>
  </si>
  <si>
    <t>ENSDARG00000015088</t>
  </si>
  <si>
    <t>DnaJ (Hsp40) homolog, subfamily B, member 11 [Source:ZFIN;Acc:ZDB-GENE-031113-9]</t>
  </si>
  <si>
    <t>apodb</t>
  </si>
  <si>
    <t>ENSDARG00000057437</t>
  </si>
  <si>
    <t>apolipoprotein Db [Source:ZFIN;Acc:ZDB-GENE-051023-8]</t>
  </si>
  <si>
    <t>fosab</t>
  </si>
  <si>
    <t>ENSDARG00000031683</t>
  </si>
  <si>
    <t>v-fos FBJ murine osteosarcoma viral oncogene homolog Ab [Source:ZFIN;Acc:ZDB-GENE-031222-4]</t>
  </si>
  <si>
    <t>ndufv2</t>
  </si>
  <si>
    <t>ENSDARG00000013044</t>
  </si>
  <si>
    <t>NADH dehydrogenase (ubiquinone) flavoprotein 2 [Source:ZFIN;Acc:ZDB-GENE-040426-1713]</t>
  </si>
  <si>
    <t>si:ch73-1a9.3</t>
  </si>
  <si>
    <t>ENSDARG00000103919</t>
  </si>
  <si>
    <t>si:ch73-1a9.3 [Source:ZFIN;Acc:ZDB-GENE-141216-84]</t>
  </si>
  <si>
    <t>aqp3a</t>
  </si>
  <si>
    <t>ENSDARG00000003808</t>
  </si>
  <si>
    <t>aquaporin 3a [Source:ZFIN;Acc:ZDB-GENE-040426-2826]</t>
  </si>
  <si>
    <t>ccdc88c</t>
  </si>
  <si>
    <t>ENSDARG00000053713</t>
  </si>
  <si>
    <t>coiled-coil domain containing 88C [Source:ZFIN;Acc:ZDB-GENE-100419-3]</t>
  </si>
  <si>
    <t>echs1</t>
  </si>
  <si>
    <t>ENSDARG00000001578</t>
  </si>
  <si>
    <t>enoyl CoA hydratase, short chain, 1, mitochondrial [Source:ZFIN;Acc:ZDB-GENE-030616-617]</t>
  </si>
  <si>
    <t>hist2h2l</t>
  </si>
  <si>
    <t>ENSDARG00000068996</t>
  </si>
  <si>
    <t>histone 2, H2, like [Source:ZFIN;Acc:ZDB-GENE-031118-36]</t>
  </si>
  <si>
    <t>bzw1b</t>
  </si>
  <si>
    <t>ENSDARG00000099148</t>
  </si>
  <si>
    <t>basic leucine zipper and W2 domains 1b [Source:ZFIN;Acc:ZDB-GENE-040426-2881]</t>
  </si>
  <si>
    <t>unc119b</t>
  </si>
  <si>
    <t>ENSDARG00000044362</t>
  </si>
  <si>
    <t>unc-119 homolog b (C. elegans) [Source:ZFIN;Acc:ZDB-GENE-050201-2]</t>
  </si>
  <si>
    <t>tmbim4</t>
  </si>
  <si>
    <t>ENSDARG00000014361</t>
  </si>
  <si>
    <t>transmembrane BAX inhibitor motif containing 4 [Source:ZFIN;Acc:ZDB-GENE-040426-2152]</t>
  </si>
  <si>
    <t>prdx3</t>
  </si>
  <si>
    <t>ENSDARG00000032102</t>
  </si>
  <si>
    <t>peroxiredoxin 3 [Source:ZFIN;Acc:ZDB-GENE-030826-18]</t>
  </si>
  <si>
    <t>atp5e</t>
  </si>
  <si>
    <t>ENSDARG00000095897</t>
  </si>
  <si>
    <t>ATP synthase, H+ transporting, mitochondrial F1 complex, epsilon subunit [Source:ZFIN;Acc:ZDB-GENE-110411-22]</t>
  </si>
  <si>
    <t>id2a</t>
  </si>
  <si>
    <t>ENSDARG00000055283</t>
  </si>
  <si>
    <t>inhibitor of DNA binding 2, dominant negative helix-loop-helix protein, a [Source:ZFIN;Acc:ZDB-GENE-020910-1]</t>
  </si>
  <si>
    <t>lamtor2</t>
  </si>
  <si>
    <t>ENSDARG00000039872</t>
  </si>
  <si>
    <t>late endosomal/lysosomal adaptor, MAPK and MTOR activator 2 [Source:ZFIN;Acc:ZDB-GENE-040801-63]</t>
  </si>
  <si>
    <t>ap1m2</t>
  </si>
  <si>
    <t>ENSDARG00000096454</t>
  </si>
  <si>
    <t>adaptor-related protein complex 1, mu 2 subunit [Source:ZFIN;Acc:ZDB-GENE-041114-20]</t>
  </si>
  <si>
    <t>id4</t>
  </si>
  <si>
    <t>ENSDARG00000045131</t>
  </si>
  <si>
    <t>inhibitor of DNA binding 4 [Source:ZFIN;Acc:ZDB-GENE-051113-208]</t>
  </si>
  <si>
    <t>ier5</t>
  </si>
  <si>
    <t>ENSDARG00000009881</t>
  </si>
  <si>
    <t>immediate early response 5 [Source:ZFIN;Acc:ZDB-GENE-030616-127]</t>
  </si>
  <si>
    <t>pdha1a</t>
  </si>
  <si>
    <t>ENSDARG00000012387</t>
  </si>
  <si>
    <t>pyruvate dehydrogenase (lipoamide) alpha 1a [Source:ZFIN;Acc:ZDB-GENE-040426-2719]</t>
  </si>
  <si>
    <t>cox10</t>
  </si>
  <si>
    <t>ENSDARG00000034309</t>
  </si>
  <si>
    <t>COX10 heme A:farnesyltransferase cytochrome c oxidase assembly factor [Source:ZFIN;Acc:ZDB-GENE-041111-239]</t>
  </si>
  <si>
    <t>si:dkey-7n6.2</t>
  </si>
  <si>
    <t>ENSDARG00000094602</t>
  </si>
  <si>
    <t>si:dkey-7n6.2 [Source:ZFIN;Acc:ZDB-GENE-091204-262]</t>
  </si>
  <si>
    <t>rpl14</t>
  </si>
  <si>
    <t>ENSDARG00000103433</t>
  </si>
  <si>
    <t>ribosomal protein L14 [Source:ZFIN;Acc:ZDB-GENE-030131-2085]</t>
  </si>
  <si>
    <t>ndufa10</t>
  </si>
  <si>
    <t>ENSDARG00000013333</t>
  </si>
  <si>
    <t>NADH dehydrogenase (ubiquinone) 1 alpha subcomplex, 10 [Source:ZFIN;Acc:ZDB-GENE-030131-670]</t>
  </si>
  <si>
    <t>uqcrc2b</t>
  </si>
  <si>
    <t>ENSDARG00000071691</t>
  </si>
  <si>
    <t>ubiquinol-cytochrome c reductase core protein IIb [Source:ZFIN;Acc:ZDB-GENE-030131-1269]</t>
  </si>
  <si>
    <t>ndufab1b</t>
  </si>
  <si>
    <t>ENSDARG00000014915</t>
  </si>
  <si>
    <t>NADH dehydrogenase (ubiquinone) 1, alpha/beta subcomplex, 1b [Source:ZFIN;Acc:ZDB-GENE-030131-4437]</t>
  </si>
  <si>
    <t>tceb1b</t>
  </si>
  <si>
    <t>ENSDARG00000045359</t>
  </si>
  <si>
    <t>transcription elongation factor B (SIII), polypeptide 1b [Source:ZFIN;Acc:ZDB-GENE-040718-138]</t>
  </si>
  <si>
    <t>rpl4</t>
  </si>
  <si>
    <t>ENSDARG00000041182</t>
  </si>
  <si>
    <t>ribosomal protein L4 [Source:ZFIN;Acc:ZDB-GENE-030131-9034]</t>
  </si>
  <si>
    <t>cst3</t>
  </si>
  <si>
    <t>ENSDARG00000007795</t>
  </si>
  <si>
    <t>cystatin C (amyloid angiopathy and cerebral hemorrhage) [Source:ZFIN;Acc:ZDB-GENE-030131-373]</t>
  </si>
  <si>
    <t>gdnfb</t>
  </si>
  <si>
    <t>ENSDARG00000103764</t>
  </si>
  <si>
    <t>glial cell derived neurotrophic factor b [Source:ZFIN;Acc:ZDB-GENE-110609-2]</t>
  </si>
  <si>
    <t>mt-nd5</t>
  </si>
  <si>
    <t>ENSDARG00000063921</t>
  </si>
  <si>
    <t>NADH dehydrogenase 5, mitochondrial [Source:ZFIN;Acc:ZDB-GENE-011205-12]</t>
  </si>
  <si>
    <t>rps17</t>
  </si>
  <si>
    <t>ENSDARG00000104011</t>
  </si>
  <si>
    <t>ribosomal protein S17 [Source:ZFIN;Acc:ZDB-GENE-040426-1852]</t>
  </si>
  <si>
    <t>ppp1cb</t>
  </si>
  <si>
    <t>ENSDARG00000044153</t>
  </si>
  <si>
    <t>protein phosphatase 1, catalytic subunit, beta isozyme [Source:ZFIN;Acc:ZDB-GENE-030616-609]</t>
  </si>
  <si>
    <t>chmp4ba</t>
  </si>
  <si>
    <t>ENSDARG00000016255</t>
  </si>
  <si>
    <t>charged multivesicular body protein 4Ba [Source:ZFIN;Acc:ZDB-GENE-040426-906]</t>
  </si>
  <si>
    <t>AC024175.17</t>
  </si>
  <si>
    <t>ENSDARG00000082753</t>
  </si>
  <si>
    <t>ndrg3b</t>
  </si>
  <si>
    <t>ENSDARG00000010052</t>
  </si>
  <si>
    <t>ndrg family member 3b [Source:ZFIN;Acc:ZDB-GENE-030131-5606]</t>
  </si>
  <si>
    <t>GCA</t>
  </si>
  <si>
    <t>ENSDARG00000020187</t>
  </si>
  <si>
    <t>zgc:92027 [Source:ZFIN;Acc:ZDB-GENE-040930-3]</t>
  </si>
  <si>
    <t>oclna</t>
  </si>
  <si>
    <t>ENSDARG00000005108</t>
  </si>
  <si>
    <t>occludin a [Source:ZFIN;Acc:ZDB-GENE-040426-2685]</t>
  </si>
  <si>
    <t>cldn7b</t>
  </si>
  <si>
    <t>ENSDARG00000014047</t>
  </si>
  <si>
    <t>claudin 7b [Source:ZFIN;Acc:ZDB-GENE-001103-5]</t>
  </si>
  <si>
    <t>mpc1</t>
  </si>
  <si>
    <t>ENSDARG00000093448</t>
  </si>
  <si>
    <t>mitochondrial pyruvate carrier 1 [Source:ZFIN;Acc:ZDB-GENE-040718-94]</t>
  </si>
  <si>
    <t>hopx</t>
  </si>
  <si>
    <t>ENSDARG00000089368</t>
  </si>
  <si>
    <t>HOP homeobox [Source:ZFIN;Acc:ZDB-GENE-031016-2]</t>
  </si>
  <si>
    <t>eif4a1b</t>
  </si>
  <si>
    <t>ENSDARG00000003032</t>
  </si>
  <si>
    <t>eukaryotic translation initiation factor 4A1B [Source:ZFIN;Acc:ZDB-GENE-040120-6]</t>
  </si>
  <si>
    <t>arl6</t>
  </si>
  <si>
    <t>ENSDARG00000032056</t>
  </si>
  <si>
    <t>ADP-ribosylation factor-like 6 [Source:ZFIN;Acc:ZDB-GENE-041219-2]</t>
  </si>
  <si>
    <t>ivd</t>
  </si>
  <si>
    <t>ENSDARG00000042853</t>
  </si>
  <si>
    <t>isovaleryl-CoA dehydrogenase [Source:ZFIN;Acc:ZDB-GENE-030616-262]</t>
  </si>
  <si>
    <t>serinc2</t>
  </si>
  <si>
    <t>ENSDARG00000056532</t>
  </si>
  <si>
    <t>serine incorporator 2 [Source:ZFIN;Acc:ZDB-GENE-041111-296]</t>
  </si>
  <si>
    <t>gbgt1l3</t>
  </si>
  <si>
    <t>ENSDARG00000035555</t>
  </si>
  <si>
    <t>globoside alpha-1,3-N-acetylgalactosaminyltransferase 1, like 3 [Source:ZFIN;Acc:ZDB-GENE-040912-46]</t>
  </si>
  <si>
    <t>crfb17</t>
  </si>
  <si>
    <t>ENSDARG00000074771</t>
  </si>
  <si>
    <t>cytokine receptor family member B17 [Source:ZFIN;Acc:ZDB-GENE-081022-158]</t>
  </si>
  <si>
    <t>ndufb7</t>
  </si>
  <si>
    <t>ENSDARG00000033789</t>
  </si>
  <si>
    <t>NADH dehydrogenase (ubiquinone) 1 beta subcomplex, 7 [Source:ZFIN;Acc:ZDB-GENE-040426-1886]</t>
  </si>
  <si>
    <t>stm</t>
  </si>
  <si>
    <t>ENSDARG00000035694</t>
  </si>
  <si>
    <t>starmaker [Source:ZFIN;Acc:ZDB-GENE-031112-4]</t>
  </si>
  <si>
    <t>hmgb3a</t>
  </si>
  <si>
    <t>ENSDARG00000056725</t>
  </si>
  <si>
    <t>high mobility group box 3a [Source:ZFIN;Acc:ZDB-GENE-050428-1]</t>
  </si>
  <si>
    <t>ndnfl</t>
  </si>
  <si>
    <t>ENSDARG00000076462</t>
  </si>
  <si>
    <t>neuron-derived neurotrophic factor , like [Source:ZFIN;Acc:ZDB-GENE-131127-464]</t>
  </si>
  <si>
    <t>aldoaa</t>
  </si>
  <si>
    <t>ENSDARG00000011665</t>
  </si>
  <si>
    <t>aldolase a, fructose-bisphosphate, a [Source:ZFIN;Acc:ZDB-GENE-030131-8369]</t>
  </si>
  <si>
    <t>rpl22</t>
  </si>
  <si>
    <t>ENSDARG00000070437</t>
  </si>
  <si>
    <t>ribosomal protein L22 [Source:ZFIN;Acc:ZDB-GENE-051113-276]</t>
  </si>
  <si>
    <t>si:dkeyp-110c7.4</t>
  </si>
  <si>
    <t>ENSDARG00000100476</t>
  </si>
  <si>
    <t>si:dkeyp-110c7.4 [Source:ZFIN;Acc:ZDB-GENE-070705-532]</t>
  </si>
  <si>
    <t>NUPR2</t>
  </si>
  <si>
    <t>ENSDARG00000094300</t>
  </si>
  <si>
    <t>si:ch211-160e1.5 [Source:ZFIN;Acc:ZDB-GENE-070705-255]</t>
  </si>
  <si>
    <t>sparc</t>
  </si>
  <si>
    <t>ENSDARG00000019353</t>
  </si>
  <si>
    <t>secreted protein, acidic, cysteine-rich (osteonectin) [Source:ZFIN;Acc:ZDB-GENE-030131-9]</t>
  </si>
  <si>
    <t>fxyd1</t>
  </si>
  <si>
    <t>ENSDARG00000099014</t>
  </si>
  <si>
    <t>FXYD domain containing ion transport regulator 1 (phospholemman) [Source:ZFIN;Acc:ZDB-GENE-050309-14]</t>
  </si>
  <si>
    <t>si:dkey-4p15.5</t>
  </si>
  <si>
    <t>ENSDARG00000086272</t>
  </si>
  <si>
    <t>si:dkey-4p15.5 [Source:ZFIN;Acc:ZDB-GENE-121214-193]</t>
  </si>
  <si>
    <t>zgc:92313</t>
  </si>
  <si>
    <t>ENSDARG00000040513</t>
  </si>
  <si>
    <t>zgc:92313 [Source:ZFIN;Acc:ZDB-GENE-040718-339]</t>
  </si>
  <si>
    <t>ssr3</t>
  </si>
  <si>
    <t>ENSDARG00000014165</t>
  </si>
  <si>
    <t>signal sequence receptor, gamma [Source:ZFIN;Acc:ZDB-GENE-030131-9134]</t>
  </si>
  <si>
    <t>mcl1a</t>
  </si>
  <si>
    <t>ENSDARG00000009779</t>
  </si>
  <si>
    <t>myeloid cell leukemia 1a [Source:ZFIN;Acc:ZDB-GENE-000511-7]</t>
  </si>
  <si>
    <t>si:dkey-78l4.14</t>
  </si>
  <si>
    <t>ENSDARG00000071378</t>
  </si>
  <si>
    <t>si:dkey-78l4.14 [Source:ZFIN;Acc:ZDB-GENE-050309-178]</t>
  </si>
  <si>
    <t>wls</t>
  </si>
  <si>
    <t>ENSDARG00000009534</t>
  </si>
  <si>
    <t>wntless Wnt ligand secretion mediator [Source:ZFIN;Acc:ZDB-GENE-040426-2161]</t>
  </si>
  <si>
    <t>ndufa13</t>
  </si>
  <si>
    <t>ENSDARG00000098584</t>
  </si>
  <si>
    <t>NADH dehydrogenase (ubiquinone) 1 alpha subcomplex, 13 [Source:ZFIN;Acc:ZDB-GENE-040426-1672]</t>
  </si>
  <si>
    <t>si:dkey-33m11.8</t>
  </si>
  <si>
    <t>ENSDARG00000055014</t>
  </si>
  <si>
    <t>si:dkey-33m11.8 [Source:ZFIN;Acc:ZDB-GENE-141215-49]</t>
  </si>
  <si>
    <t>cox7a3</t>
  </si>
  <si>
    <t>ENSDARG00000054907</t>
  </si>
  <si>
    <t>cytochrome c oxidase subunit VIIa polypeptide 3 [Source:ZFIN;Acc:ZDB-GENE-030131-7691]</t>
  </si>
  <si>
    <t>ndufa2</t>
  </si>
  <si>
    <t>ENSDARG00000021984</t>
  </si>
  <si>
    <t>NADH dehydrogenase (ubiquinone) 1 alpha subcomplex, 2 [Source:ZFIN;Acc:ZDB-GENE-050522-377]</t>
  </si>
  <si>
    <t>cycsb</t>
  </si>
  <si>
    <t>ENSDARG00000044562</t>
  </si>
  <si>
    <t>cytochrome c, somatic b [Source:ZFIN;Acc:ZDB-GENE-040625-38]</t>
  </si>
  <si>
    <t>idh3b</t>
  </si>
  <si>
    <t>ENSDARG00000044753</t>
  </si>
  <si>
    <t>isocitrate dehydrogenase 3 (NAD+) beta [Source:ZFIN;Acc:ZDB-GENE-040625-174]</t>
  </si>
  <si>
    <t>uba52</t>
  </si>
  <si>
    <t>ENSDARG00000041435</t>
  </si>
  <si>
    <t>ubiquitin A-52 residue ribosomal protein fusion product 1 [Source:ZFIN;Acc:ZDB-GENE-051023-7]</t>
  </si>
  <si>
    <t>tagln2</t>
  </si>
  <si>
    <t>ENSDARG00000033466</t>
  </si>
  <si>
    <t>transgelin 2 [Source:ZFIN;Acc:ZDB-GENE-020802-2]</t>
  </si>
  <si>
    <t>rplp0</t>
  </si>
  <si>
    <t>ENSDARG00000051783</t>
  </si>
  <si>
    <t>ribosomal protein, large, P0 [Source:ZFIN;Acc:ZDB-GENE-000629-1]</t>
  </si>
  <si>
    <t>lypla2</t>
  </si>
  <si>
    <t>ENSDARG00000053656</t>
  </si>
  <si>
    <t>lysophospholipase II [Source:ZFIN;Acc:ZDB-GENE-040426-1715]</t>
  </si>
  <si>
    <t>dynll1</t>
  </si>
  <si>
    <t>ENSDARG00000058454</t>
  </si>
  <si>
    <t>dynein, light chain, LC8-type 1 [Source:ZFIN;Acc:ZDB-GENE-040426-1961]</t>
  </si>
  <si>
    <t>NDUFB1</t>
  </si>
  <si>
    <t>ENSDARG00000087456</t>
  </si>
  <si>
    <t>NADH:ubiquinone oxidoreductase subunit B1 [Source:HGNC Symbol;Acc:HGNC:7695]</t>
  </si>
  <si>
    <t>cops4</t>
  </si>
  <si>
    <t>ENSDARG00000043732</t>
  </si>
  <si>
    <t>COP9 constitutive photomorphogenic homolog subunit 4 (Arabidopsis) [Source:ZFIN;Acc:ZDB-GENE-030131-4317]</t>
  </si>
  <si>
    <t>tollip</t>
  </si>
  <si>
    <t>ENSDARG00000098486</t>
  </si>
  <si>
    <t>toll interacting protein [Source:ZFIN;Acc:ZDB-GENE-030131-8820]</t>
  </si>
  <si>
    <t>actb1</t>
  </si>
  <si>
    <t>ENSDARG00000037746</t>
  </si>
  <si>
    <t>actin, beta 1 [Source:ZFIN;Acc:ZDB-GENE-000329-1]</t>
  </si>
  <si>
    <t>selk</t>
  </si>
  <si>
    <t>ENSDARG00000100823</t>
  </si>
  <si>
    <t>selenoprotein K [Source:ZFIN;Acc:ZDB-GENE-040912-131]</t>
  </si>
  <si>
    <t>hnrnpaba</t>
  </si>
  <si>
    <t>ENSDARG00000007960</t>
  </si>
  <si>
    <t>heterogeneous nuclear ribonucleoprotein A/Ba [Source:ZFIN;Acc:ZDB-GENE-030131-185]</t>
  </si>
  <si>
    <t>krt4</t>
  </si>
  <si>
    <t>ENSDARG00000017624</t>
  </si>
  <si>
    <t>keratin 4 [Source:ZFIN;Acc:ZDB-GENE-000607-83]</t>
  </si>
  <si>
    <t>egr1</t>
  </si>
  <si>
    <t>ENSDARG00000037421</t>
  </si>
  <si>
    <t>early growth response 1 [Source:ZFIN;Acc:ZDB-GENE-980526-320]</t>
  </si>
  <si>
    <t>mt-atp6</t>
  </si>
  <si>
    <t>ENSDARG00000063911</t>
  </si>
  <si>
    <t>ATP synthase 6, mitochondrial [Source:ZFIN;Acc:ZDB-GENE-011205-18]</t>
  </si>
  <si>
    <t>rab14</t>
  </si>
  <si>
    <t>ENSDARG00000074246</t>
  </si>
  <si>
    <t>RAB14, member RAS oncogene family [Source:ZFIN;Acc:ZDB-GENE-030826-20]</t>
  </si>
  <si>
    <t>zgc:158409</t>
  </si>
  <si>
    <t>ENSDARG00000062326</t>
  </si>
  <si>
    <t>zgc:158409 [Source:ZFIN;Acc:ZDB-GENE-061215-23]</t>
  </si>
  <si>
    <t>ndufc2</t>
  </si>
  <si>
    <t>ENSDARG00000102115</t>
  </si>
  <si>
    <t>NADH dehydrogenase (ubiquinone) 1, subcomplex unknown, 2 [Source:ZFIN;Acc:ZDB-GENE-050320-87]</t>
  </si>
  <si>
    <t>atf4b</t>
  </si>
  <si>
    <t>ENSDARG00000038141</t>
  </si>
  <si>
    <t>activating transcription factor 4b [Source:ZFIN;Acc:ZDB-GENE-070928-23]</t>
  </si>
  <si>
    <t>fkbp4</t>
  </si>
  <si>
    <t>ENSDARG00000008447</t>
  </si>
  <si>
    <t>FK506 binding protein 4 [Source:ZFIN;Acc:ZDB-GENE-030131-514]</t>
  </si>
  <si>
    <t>tob1a</t>
  </si>
  <si>
    <t>ENSDARG00000032619</t>
  </si>
  <si>
    <t>transducer of ERBB2, 1a [Source:ZFIN;Acc:ZDB-GENE-031030-4]</t>
  </si>
  <si>
    <t>atp5g3b</t>
  </si>
  <si>
    <t>ENSDARG00000009447</t>
  </si>
  <si>
    <t>ATP synthase, H+ transporting, mitochondrial F0 complex, subunit c3 (subunit 9) b [Source:ZFIN;Acc:ZDB-GENE-020814-1]</t>
  </si>
  <si>
    <t>glyr1</t>
  </si>
  <si>
    <t>ENSDARG00000099213</t>
  </si>
  <si>
    <t>glyoxylate reductase 1 homolog (Arabidopsis) [Source:ZFIN;Acc:ZDB-GENE-041121-5]</t>
  </si>
  <si>
    <t>commd3</t>
  </si>
  <si>
    <t>ENSDARG00000045402</t>
  </si>
  <si>
    <t>COMM domain containing 3 [Source:ZFIN;Acc:ZDB-GENE-041219-3]</t>
  </si>
  <si>
    <t>si:ch211-222l21.1</t>
  </si>
  <si>
    <t>ENSDARG00000076532</t>
  </si>
  <si>
    <t>si:ch211-222l21.1 [Source:ZFIN;Acc:ZDB-GENE-030131-247]</t>
  </si>
  <si>
    <t>tuba8l3</t>
  </si>
  <si>
    <t>ENSDARG00000070155</t>
  </si>
  <si>
    <t>tubulin, alpha 8 like 3 [Source:ZFIN;Acc:ZDB-GENE-040801-77]</t>
  </si>
  <si>
    <t>dlx4b</t>
  </si>
  <si>
    <t>ENSDARG00000071560</t>
  </si>
  <si>
    <t>distal-less homeobox 4b [Source:ZFIN;Acc:ZDB-GENE-990415-50]</t>
  </si>
  <si>
    <t>atp5d</t>
  </si>
  <si>
    <t>ENSDARG00000019404</t>
  </si>
  <si>
    <t>ATP synthase, H+ transporting, mitochondrial F1 complex, delta subunit [Source:ZFIN;Acc:ZDB-GENE-030131-7649]</t>
  </si>
  <si>
    <t>tuba8l</t>
  </si>
  <si>
    <t>ENSDARG00000042708</t>
  </si>
  <si>
    <t>tubulin, alpha 8 like [Source:ZFIN;Acc:ZDB-GENE-030131-9167]</t>
  </si>
  <si>
    <t>palld</t>
  </si>
  <si>
    <t>ENSDARG00000040009</t>
  </si>
  <si>
    <t>palladin, cytoskeletal associated protein [Source:ZFIN;Acc:ZDB-GENE-041014-252]</t>
  </si>
  <si>
    <t>cd63</t>
  </si>
  <si>
    <t>ENSDARG00000025147</t>
  </si>
  <si>
    <t>CD63 molecule [Source:ZFIN;Acc:ZDB-GENE-030131-180]</t>
  </si>
  <si>
    <t>tmed2</t>
  </si>
  <si>
    <t>ENSDARG00000026908</t>
  </si>
  <si>
    <t>transmembrane p24 trafficking protein 2 [Source:ZFIN;Acc:ZDB-GENE-030131-269]</t>
  </si>
  <si>
    <t>dap1b</t>
  </si>
  <si>
    <t>ENSDARG00000086842</t>
  </si>
  <si>
    <t>death associated protein 1b [Source:ZFIN;Acc:ZDB-GENE-000511-4]</t>
  </si>
  <si>
    <t>oaz2a</t>
  </si>
  <si>
    <t>ENSDARG00000045929</t>
  </si>
  <si>
    <t>ornithine decarboxylase antizyme 2a [Source:ZFIN;Acc:ZDB-GENE-121005-1]</t>
  </si>
  <si>
    <t>trappc5</t>
  </si>
  <si>
    <t>ENSDARG00000026068</t>
  </si>
  <si>
    <t>trafficking protein particle complex 5 [Source:ZFIN;Acc:ZDB-GENE-040718-185]</t>
  </si>
  <si>
    <t>h2afy2</t>
  </si>
  <si>
    <t>ENSDARG00000087897</t>
  </si>
  <si>
    <t>H2A histone family, member Y2 [Source:ZFIN;Acc:ZDB-GENE-050913-114]</t>
  </si>
  <si>
    <t>mgst1.1</t>
  </si>
  <si>
    <t>ENSDARG00000032618</t>
  </si>
  <si>
    <t>microsomal glutathione S-transferase 1.1 [Source:ZFIN;Acc:ZDB-GENE-041010-30]</t>
  </si>
  <si>
    <t>pcxa</t>
  </si>
  <si>
    <t>ENSDARG00000098766</t>
  </si>
  <si>
    <t>pyruvate carboxylase a [Source:ZFIN;Acc:ZDB-GENE-090908-3]</t>
  </si>
  <si>
    <t>tmem54a</t>
  </si>
  <si>
    <t>ENSDARG00000059247</t>
  </si>
  <si>
    <t>transmembrane protein 54a [Source:ZFIN;Acc:ZDB-GENE-040426-1304]</t>
  </si>
  <si>
    <t>mt-nd1</t>
  </si>
  <si>
    <t>ENSDARG00000063895</t>
  </si>
  <si>
    <t>NADH dehydrogenase 1, mitochondrial [Source:ZFIN;Acc:ZDB-GENE-011205-7]</t>
  </si>
  <si>
    <t>rpl6</t>
  </si>
  <si>
    <t>ENSDARG00000058451</t>
  </si>
  <si>
    <t>ribosomal protein L6 [Source:ZFIN;Acc:ZDB-GENE-030131-8671]</t>
  </si>
  <si>
    <t>mt-nd2</t>
  </si>
  <si>
    <t>ENSDARG00000063899</t>
  </si>
  <si>
    <t>NADH dehydrogenase 2, mitochondrial [Source:ZFIN;Acc:ZDB-GENE-011205-8]</t>
  </si>
  <si>
    <t>acsl1a</t>
  </si>
  <si>
    <t>ENSDARG00000030514</t>
  </si>
  <si>
    <t>acyl-CoA synthetase long-chain family member 1a [Source:ZFIN;Acc:ZDB-GENE-050809-115]</t>
  </si>
  <si>
    <t>elf3</t>
  </si>
  <si>
    <t>ENSDARG00000077982</t>
  </si>
  <si>
    <t>E74-like factor 3 (ets domain transcription factor, epithelial-specific ) [Source:ZFIN;Acc:ZDB-GENE-030131-8760]</t>
  </si>
  <si>
    <t>spint2</t>
  </si>
  <si>
    <t>ENSDARG00000069476</t>
  </si>
  <si>
    <t>serine peptidase inhibitor, Kunitz type, 2 [Source:ZFIN;Acc:ZDB-GENE-061013-323]</t>
  </si>
  <si>
    <t>ddx5</t>
  </si>
  <si>
    <t>ENSDARG00000038068</t>
  </si>
  <si>
    <t>DEAD (Asp-Glu-Ala-Asp) box helicase 5 [Source:ZFIN;Acc:ZDB-GENE-030131-925]</t>
  </si>
  <si>
    <t>arf2b</t>
  </si>
  <si>
    <t>ENSDARG00000016393</t>
  </si>
  <si>
    <t>ADP-ribosylation factor 2b [Source:ZFIN;Acc:ZDB-GENE-030131-5234]</t>
  </si>
  <si>
    <t>CABZ01032488.1</t>
  </si>
  <si>
    <t>ENSDARG00000099154</t>
  </si>
  <si>
    <t>CU019646.2</t>
  </si>
  <si>
    <t>ENSDARG00000091234</t>
  </si>
  <si>
    <t>dap1b.1</t>
  </si>
  <si>
    <t>ENSDARG00000036895</t>
  </si>
  <si>
    <t>cav1</t>
  </si>
  <si>
    <t>ENSDARG00000103747</t>
  </si>
  <si>
    <t>caveolin 1 [Source:ZFIN;Acc:ZDB-GENE-030131-2415]</t>
  </si>
  <si>
    <t>mob1ba</t>
  </si>
  <si>
    <t>ENSDARG00000009169</t>
  </si>
  <si>
    <t>MOB kinase activator 1Ba [Source:ZFIN;Acc:ZDB-GENE-040426-919]</t>
  </si>
  <si>
    <t>si:ch211-153b23.4</t>
  </si>
  <si>
    <t>ENSDARG00000077169</t>
  </si>
  <si>
    <t>si:ch211-153b23.4 [Source:ZFIN;Acc:ZDB-GENE-030131-7332]</t>
  </si>
  <si>
    <t>she</t>
  </si>
  <si>
    <t>ENSDARG00000087956</t>
  </si>
  <si>
    <t>Src homology 2 domain containing E [Source:ZFIN;Acc:ZDB-GENE-090915-6]</t>
  </si>
  <si>
    <t>si:dkey-7j14.6</t>
  </si>
  <si>
    <t>ENSDARG00000090552</t>
  </si>
  <si>
    <t>si:dkey-7j14.6 [Source:ZFIN;Acc:ZDB-GENE-030131-8466]</t>
  </si>
  <si>
    <t>cx43.4</t>
  </si>
  <si>
    <t>ENSDARG00000007099</t>
  </si>
  <si>
    <t>connexin 43.4 [Source:ZFIN;Acc:ZDB-GENE-990415-38]</t>
  </si>
  <si>
    <t>plcd1b</t>
  </si>
  <si>
    <t>ENSDARG00000034080</t>
  </si>
  <si>
    <t>phospholipase C, delta 1b [Source:ZFIN;Acc:ZDB-GENE-030131-9435]</t>
  </si>
  <si>
    <t>cyc1</t>
  </si>
  <si>
    <t>ENSDARG00000038075</t>
  </si>
  <si>
    <t>cytochrome c-1 [Source:ZFIN;Acc:ZDB-GENE-031105-2]</t>
  </si>
  <si>
    <t>naca</t>
  </si>
  <si>
    <t>ENSDARG00000005513</t>
  </si>
  <si>
    <t>nascent polypeptide-associated complex alpha subunit [Source:ZFIN;Acc:ZDB-GENE-020423-4]</t>
  </si>
  <si>
    <t>eef1g</t>
  </si>
  <si>
    <t>ENSDARG00000056119</t>
  </si>
  <si>
    <t>eukaryotic translation elongation factor 1 gamma [Source:ZFIN;Acc:ZDB-GENE-020423-3]</t>
  </si>
  <si>
    <t>si:dkeyp-72e1.6</t>
  </si>
  <si>
    <t>ENSDARG00000099877</t>
  </si>
  <si>
    <t>si:dkeyp-72e1.6 [Source:ZFIN;Acc:ZDB-GENE-120215-228]</t>
  </si>
  <si>
    <t>laptm4a</t>
  </si>
  <si>
    <t>ENSDARG00000006397</t>
  </si>
  <si>
    <t>lysosomal protein transmembrane 4 alpha [Source:ZFIN;Acc:ZDB-GENE-030131-1024]</t>
  </si>
  <si>
    <t>dpy30</t>
  </si>
  <si>
    <t>ENSDARG00000004427</t>
  </si>
  <si>
    <t>dpy-30 histone methyltransferase complex regulatory subunit [Source:ZFIN;Acc:ZDB-GENE-040718-136]</t>
  </si>
  <si>
    <t>zgc:101000</t>
  </si>
  <si>
    <t>ENSDARG00000015123</t>
  </si>
  <si>
    <t>zgc:101000 [Source:ZFIN;Acc:ZDB-GENE-040808-35]</t>
  </si>
  <si>
    <t>hyou1</t>
  </si>
  <si>
    <t>ENSDARG00000013670</t>
  </si>
  <si>
    <t>hypoxia up-regulated 1 [Source:ZFIN;Acc:ZDB-GENE-030131-5344]</t>
  </si>
  <si>
    <t>atp5l</t>
  </si>
  <si>
    <t>ENSDARG00000011841</t>
  </si>
  <si>
    <t>ATP synthase, H+ transporting, mitochondrial F0 complex, subunit g [Source:ZFIN;Acc:ZDB-GENE-030131-5177]</t>
  </si>
  <si>
    <t>prrg2</t>
  </si>
  <si>
    <t>ENSDARG00000087193</t>
  </si>
  <si>
    <t>proline rich Gla (G-carboxyglutamic acid) 2 [Source:ZFIN;Acc:ZDB-GENE-130625-1]</t>
  </si>
  <si>
    <t>atp5ia</t>
  </si>
  <si>
    <t>ENSDARG00000078113</t>
  </si>
  <si>
    <t>ATP synthase, H+ transporting, mitochondrial Fo complex, subunit Ea [Source:ZFIN;Acc:ZDB-GENE-070928-12]</t>
  </si>
  <si>
    <t>fth1a</t>
  </si>
  <si>
    <t>ENSDARG00000015551</t>
  </si>
  <si>
    <t>ferritin, heavy polypeptide 1a [Source:ZFIN;Acc:ZDB-GENE-000831-2]</t>
  </si>
  <si>
    <t>tob1b</t>
  </si>
  <si>
    <t>ENSDARG00000021372</t>
  </si>
  <si>
    <t>transducer of ERBB2, 1b [Source:ZFIN;Acc:ZDB-GENE-040426-2151]</t>
  </si>
  <si>
    <t>atp5a1</t>
  </si>
  <si>
    <t>ENSDARG00000010149</t>
  </si>
  <si>
    <t>ATP synthase, H+ transporting, mitochondrial F1 complex, alpha subunit 1, cardiac muscle [Source:ZFIN;Acc:ZDB-GENE-060201-1]</t>
  </si>
  <si>
    <t>cdh1</t>
  </si>
  <si>
    <t>ENSDARG00000102750</t>
  </si>
  <si>
    <t>cadherin 1, type 1, E-cadherin (epithelial) [Source:ZFIN;Acc:ZDB-GENE-010606-1]</t>
  </si>
  <si>
    <t>prkcsh</t>
  </si>
  <si>
    <t>ENSDARG00000004470</t>
  </si>
  <si>
    <t>protein kinase C substrate 80K-H [Source:ZFIN;Acc:ZDB-GENE-040426-770]</t>
  </si>
  <si>
    <t>hey1</t>
  </si>
  <si>
    <t>ENSDARG00000070538</t>
  </si>
  <si>
    <t>hes-related family bHLH transcription factor with YRPW motif 1 [Source:ZFIN;Acc:ZDB-GENE-000607-70]</t>
  </si>
  <si>
    <t>alox12</t>
  </si>
  <si>
    <t>ENSDARG00000069463</t>
  </si>
  <si>
    <t>arachidonate 12-lipoxygenase [Source:ZFIN;Acc:ZDB-GENE-030131-1452]</t>
  </si>
  <si>
    <t>npc2</t>
  </si>
  <si>
    <t>ENSDARG00000090912</t>
  </si>
  <si>
    <t>Niemann-Pick disease, type C2 [Source:ZFIN;Acc:ZDB-GENE-021206-13]</t>
  </si>
  <si>
    <t>eef2b</t>
  </si>
  <si>
    <t>ENSDARG00000100371</t>
  </si>
  <si>
    <t>eukaryotic translation elongation factor 2b [Source:ZFIN;Acc:ZDB-GENE-030131-5128]</t>
  </si>
  <si>
    <t>wdr75</t>
  </si>
  <si>
    <t>ENSDARG00000040730</t>
  </si>
  <si>
    <t>WD repeat domain 75 [Source:ZFIN;Acc:ZDB-GENE-030616-5]</t>
  </si>
  <si>
    <t>MARVELD3</t>
  </si>
  <si>
    <t>ENSDARG00000037528</t>
  </si>
  <si>
    <t>si:ch211-191a24.4 [Source:ZFIN;Acc:ZDB-GENE-030131-4489]</t>
  </si>
  <si>
    <t>ssr2</t>
  </si>
  <si>
    <t>ENSDARG00000005230</t>
  </si>
  <si>
    <t>signal sequence receptor, beta [Source:ZFIN;Acc:ZDB-GENE-010413-1]</t>
  </si>
  <si>
    <t>tmem176l.3b</t>
  </si>
  <si>
    <t>ENSDARG00000096874</t>
  </si>
  <si>
    <t>transmembrane protein 176l.3b [Source:ZFIN;Acc:ZDB-GENE-080829-14]</t>
  </si>
  <si>
    <t>ndufab1a</t>
  </si>
  <si>
    <t>ENSDARG00000058463</t>
  </si>
  <si>
    <t>NADH dehydrogenase (ubiquinone) 1, alpha/beta subcomplex, 1a [Source:ZFIN;Acc:ZDB-GENE-040801-1]</t>
  </si>
  <si>
    <t>gsnb</t>
  </si>
  <si>
    <t>ENSDARG00000045262</t>
  </si>
  <si>
    <t>gelsolin b [Source:ZFIN;Acc:ZDB-GENE-030131-8567]</t>
  </si>
  <si>
    <t>vamp8</t>
  </si>
  <si>
    <t>ENSDARG00000024116</t>
  </si>
  <si>
    <t>vesicle-associated membrane protein 8 (endobrevin) [Source:ZFIN;Acc:ZDB-GENE-030131-5215]</t>
  </si>
  <si>
    <t>cx35.4</t>
  </si>
  <si>
    <t>ENSDARG00000042866</t>
  </si>
  <si>
    <t>connexin 35.4 [Source:ZFIN;Acc:ZDB-GENE-050417-174]</t>
  </si>
  <si>
    <t>tpm3</t>
  </si>
  <si>
    <t>ENSDARG00000005162</t>
  </si>
  <si>
    <t>tropomyosin 3 [Source:ZFIN;Acc:ZDB-GENE-030826-16]</t>
  </si>
  <si>
    <t>khdrbs1a</t>
  </si>
  <si>
    <t>ENSDARG00000052856</t>
  </si>
  <si>
    <t>KH domain containing, RNA binding, signal transduction associated 1a [Source:ZFIN;Acc:ZDB-GENE-000210-25]</t>
  </si>
  <si>
    <t>actb2</t>
  </si>
  <si>
    <t>ENSDARG00000037870</t>
  </si>
  <si>
    <t>actin, beta 2 [Source:ZFIN;Acc:ZDB-GENE-000329-3]</t>
  </si>
  <si>
    <t>rps27.2</t>
  </si>
  <si>
    <t>ENSDARG00000055475</t>
  </si>
  <si>
    <t>ribosomal protein S27, isoform 2 [Source:ZFIN;Acc:ZDB-GENE-040426-1735]</t>
  </si>
  <si>
    <t>CKAP4</t>
  </si>
  <si>
    <t>ENSDARG00000032405</t>
  </si>
  <si>
    <t>zgc:85975 [Source:ZFIN;Acc:ZDB-GENE-040426-2417]</t>
  </si>
  <si>
    <t>ms4a17a.1</t>
  </si>
  <si>
    <t>ENSDARG00000043798</t>
  </si>
  <si>
    <t>membrane-spanning 4-domains, subfamily A, member 17A.1 [Source:ZFIN;Acc:ZDB-GENE-050417-307]</t>
  </si>
  <si>
    <t>limch1b</t>
  </si>
  <si>
    <t>ENSDARG00000103774</t>
  </si>
  <si>
    <t>LIM and calponin homology domains 1b [Source:ZFIN;Acc:ZDB-GENE-030131-9210]</t>
  </si>
  <si>
    <t>irg1l</t>
  </si>
  <si>
    <t>ENSDARG00000062788</t>
  </si>
  <si>
    <t>immunoresponsive gene 1, like [Source:ZFIN;Acc:ZDB-GENE-061103-301]</t>
  </si>
  <si>
    <t>pmp22a</t>
  </si>
  <si>
    <t>ENSDARG00000105223</t>
  </si>
  <si>
    <t>peripheral myelin protein 22a [Source:ZFIN;Acc:ZDB-GENE-030131-6757]</t>
  </si>
  <si>
    <t>uqcrb</t>
  </si>
  <si>
    <t>ENSDARG00000011146</t>
  </si>
  <si>
    <t>ubiquinol-cytochrome c reductase binding protein [Source:ZFIN;Acc:ZDB-GENE-050522-542]</t>
  </si>
  <si>
    <t>ackr3b</t>
  </si>
  <si>
    <t>ENSDARG00000058179</t>
  </si>
  <si>
    <t>atypical chemokine receptor 3b [Source:ZFIN;Acc:ZDB-GENE-031116-61]</t>
  </si>
  <si>
    <t>tfap2a</t>
  </si>
  <si>
    <t>ENSDARG00000059279</t>
  </si>
  <si>
    <t>transcription factor AP-2 alpha [Source:ZFIN;Acc:ZDB-GENE-011212-6]</t>
  </si>
  <si>
    <t>sub1a</t>
  </si>
  <si>
    <t>ENSDARG00000053446</t>
  </si>
  <si>
    <t>SUB1 homolog, transcriptional regulator a [Source:ZFIN;Acc:ZDB-GENE-050522-151]</t>
  </si>
  <si>
    <t>ptbp1b</t>
  </si>
  <si>
    <t>ENSDARG00000031907</t>
  </si>
  <si>
    <t>polypyrimidine tract binding protein 1b [Source:ZFIN;Acc:ZDB-GENE-030131-9796]</t>
  </si>
  <si>
    <t>creb3l1</t>
  </si>
  <si>
    <t>ENSDARG00000015793</t>
  </si>
  <si>
    <t>cAMP responsive element binding protein 3-like 1 [Source:ZFIN;Acc:ZDB-GENE-030219-181]</t>
  </si>
  <si>
    <t>atp5f1</t>
  </si>
  <si>
    <t>ENSDARG00000011553</t>
  </si>
  <si>
    <t>ATP synthase, H+ transporting, mitochondrial Fo complex, subunit B1 [Source:ZFIN;Acc:ZDB-GENE-041010-33]</t>
  </si>
  <si>
    <t>glod5</t>
  </si>
  <si>
    <t>ENSDARG00000071871</t>
  </si>
  <si>
    <t>glyoxalase domain containing 5 [Source:ZFIN;Acc:ZDB-GENE-050522-174]</t>
  </si>
  <si>
    <t>dnaja2</t>
  </si>
  <si>
    <t>ENSDARG00000104066</t>
  </si>
  <si>
    <t>DnaJ (Hsp40) homolog, subfamily A, member 2 [Source:ZFIN;Acc:ZDB-GENE-040426-2884]</t>
  </si>
  <si>
    <t>ptmab</t>
  </si>
  <si>
    <t>ENSDARG00000101766</t>
  </si>
  <si>
    <t>prothymosin, alpha b [Source:ZFIN;Acc:ZDB-GENE-030131-8681]</t>
  </si>
  <si>
    <t>cd99</t>
  </si>
  <si>
    <t>ENSDARG00000051975</t>
  </si>
  <si>
    <t>CD99 molecule [Source:ZFIN;Acc:ZDB-GENE-061103-391]</t>
  </si>
  <si>
    <t>tmem176l.2</t>
  </si>
  <si>
    <t>ENSDARG00000089399</t>
  </si>
  <si>
    <t>transmembrane protein 176l.2 [Source:ZFIN;Acc:ZDB-GENE-080829-12]</t>
  </si>
  <si>
    <t>bmp5</t>
  </si>
  <si>
    <t>ENSDARG00000101701</t>
  </si>
  <si>
    <t>bone morphogenetic protein 5 [Source:ZFIN;Acc:ZDB-GENE-040426-1413]</t>
  </si>
  <si>
    <t>plscr3b</t>
  </si>
  <si>
    <t>ENSDARG00000069432</t>
  </si>
  <si>
    <t>phospholipid scramblase 3b [Source:ZFIN;Acc:ZDB-GENE-040426-2517]</t>
  </si>
  <si>
    <t>si:ch211-7c8.2</t>
  </si>
  <si>
    <t>ENSDARG00000098378</t>
  </si>
  <si>
    <t>si:ch211-7c8.2 [Source:ZFIN;Acc:ZDB-GENE-141222-98]</t>
  </si>
  <si>
    <t>gabarapb</t>
  </si>
  <si>
    <t>ENSDARG00000052082</t>
  </si>
  <si>
    <t>GABA(A) receptor-associated protein b [Source:ZFIN;Acc:ZDB-GENE-101102-9]</t>
  </si>
  <si>
    <t>atpif1b</t>
  </si>
  <si>
    <t>ENSDARG00000044092</t>
  </si>
  <si>
    <t>ATPase inhibitory factor 1b [Source:ZFIN;Acc:ZDB-GENE-050506-113]</t>
  </si>
  <si>
    <t>map1lc3a</t>
  </si>
  <si>
    <t>ENSDARG00000033609</t>
  </si>
  <si>
    <t>microtubule-associated protein 1 light chain 3 alpha [Source:ZFIN;Acc:ZDB-GENE-040426-2232]</t>
  </si>
  <si>
    <t>gstm.1</t>
  </si>
  <si>
    <t>ENSDARG00000042533</t>
  </si>
  <si>
    <t>glutathione S-transferase mu, tandem duplicate 1 [Source:ZFIN;Acc:ZDB-GENE-030911-2]</t>
  </si>
  <si>
    <t>ZFP36</t>
  </si>
  <si>
    <t>ENSDARG00000103720</t>
  </si>
  <si>
    <t>zgc:162730 [Source:ZFIN;Acc:ZDB-GENE-030131-6366]</t>
  </si>
  <si>
    <t>wnt2</t>
  </si>
  <si>
    <t>ENSDARG00000041117</t>
  </si>
  <si>
    <t>wingless-type MMTV integration site family member 2 [Source:ZFIN;Acc:ZDB-GENE-980526-416]</t>
  </si>
  <si>
    <t>zgc:193505</t>
  </si>
  <si>
    <t>ENSDARG00000093584</t>
  </si>
  <si>
    <t>zgc:193505 [Source:ZFIN;Acc:ZDB-GENE-030131-7103]</t>
  </si>
  <si>
    <t>styk1</t>
  </si>
  <si>
    <t>ENSDARG00000041947</t>
  </si>
  <si>
    <t>serine/threonine/tyrosine kinase 1 [Source:ZFIN;Acc:ZDB-GENE-030131-3435]</t>
  </si>
  <si>
    <t>s100u</t>
  </si>
  <si>
    <t>ENSDARG00000071014</t>
  </si>
  <si>
    <t>S100 calcium binding protein U [Source:ZFIN;Acc:ZDB-GENE-030131-3121]</t>
  </si>
  <si>
    <t>krt8</t>
  </si>
  <si>
    <t>ENSDARG00000058358</t>
  </si>
  <si>
    <t>keratin 8 [Source:ZFIN;Acc:ZDB-GENE-030411-5]</t>
  </si>
  <si>
    <t>tagapa</t>
  </si>
  <si>
    <t>ENSDARG00000002353</t>
  </si>
  <si>
    <t>T-cell activation RhoGTPase activating protein a [Source:ZFIN;Acc:ZDB-GENE-040426-1877]</t>
  </si>
  <si>
    <t>hnrpdl</t>
  </si>
  <si>
    <t>ENSDARG00000003429</t>
  </si>
  <si>
    <t>heterogeneous nuclear ribonucleoprotein D-like [Source:ZFIN;Acc:ZDB-GENE-040426-2717]</t>
  </si>
  <si>
    <t>si:dkey-247k7.2</t>
  </si>
  <si>
    <t>ENSDARG00000103199</t>
  </si>
  <si>
    <t>si:dkey-247k7.2 [Source:ZFIN;Acc:ZDB-GENE-031118-45]</t>
  </si>
  <si>
    <t>tmed10</t>
  </si>
  <si>
    <t>ENSDARG00000041391</t>
  </si>
  <si>
    <t>transmembrane p24 trafficking protein 10 [Source:ZFIN;Acc:ZDB-GENE-030131-4915]</t>
  </si>
  <si>
    <t>anxa11b</t>
  </si>
  <si>
    <t>ENSDARG00000002632</t>
  </si>
  <si>
    <t>annexin A11b [Source:ZFIN;Acc:ZDB-GENE-030707-5]</t>
  </si>
  <si>
    <t>calr</t>
  </si>
  <si>
    <t>ENSDARG00000076290</t>
  </si>
  <si>
    <t>calreticulin [Source:ZFIN;Acc:ZDB-GENE-030131-4042]</t>
  </si>
  <si>
    <t>FBXO2</t>
  </si>
  <si>
    <t>ENSDARG00000099306</t>
  </si>
  <si>
    <t>zgc:175088 [Source:ZFIN;Acc:ZDB-GENE-080204-124]</t>
  </si>
  <si>
    <t>tubb4b</t>
  </si>
  <si>
    <t>ENSDARG00000002344</t>
  </si>
  <si>
    <t>tubulin, beta 4B class IVb [Source:ZFIN;Acc:ZDB-GENE-030131-8625]</t>
  </si>
  <si>
    <t>zgc:171699</t>
  </si>
  <si>
    <t>ENSDARG00000095966</t>
  </si>
  <si>
    <t>zgc:171699 [Source:ZFIN;Acc:ZDB-GENE-071004-24]</t>
  </si>
  <si>
    <t>sept5a</t>
  </si>
  <si>
    <t>ENSDARG00000013843</t>
  </si>
  <si>
    <t>septin 5a [Source:ZFIN;Acc:ZDB-GENE-030131-7868]</t>
  </si>
  <si>
    <t>atoh1b</t>
  </si>
  <si>
    <t>ENSDARG00000099564</t>
  </si>
  <si>
    <t>atonal bHLH transcription factor 1b [Source:ZFIN;Acc:ZDB-GENE-041201-1]</t>
  </si>
  <si>
    <t>ankrd24</t>
  </si>
  <si>
    <t>ENSDARG00000062103</t>
  </si>
  <si>
    <t>ankyrin repeat domain 24 [Source:ZFIN;Acc:ZDB-GENE-050208-747]</t>
  </si>
  <si>
    <t>jam2a</t>
  </si>
  <si>
    <t>ENSDARG00000058996</t>
  </si>
  <si>
    <t>junctional adhesion molecule 2a [Source:ZFIN;Acc:ZDB-GENE-031204-3]</t>
  </si>
  <si>
    <t>myt1a</t>
  </si>
  <si>
    <t>ENSDARG00000074030</t>
  </si>
  <si>
    <t>myelin transcription factor 1a [Source:ZFIN;Acc:ZDB-GENE-030131-3885]</t>
  </si>
  <si>
    <t>cap2</t>
  </si>
  <si>
    <t>ENSDARG00000104478</t>
  </si>
  <si>
    <t>CAP, adenylate cyclase-associated protein, 2 (yeast) [Source:ZFIN;Acc:ZDB-GENE-040426-1758]</t>
  </si>
  <si>
    <t>espnlb</t>
  </si>
  <si>
    <t>ENSDARG00000093112</t>
  </si>
  <si>
    <t>espin-like b [Source:ZFIN;Acc:ZDB-GENE-070912-481]</t>
  </si>
  <si>
    <t>gpm6ab</t>
  </si>
  <si>
    <t>ENSDARG00000004621</t>
  </si>
  <si>
    <t>glycoprotein M6Ab [Source:ZFIN;Acc:ZDB-GENE-030710-8]</t>
  </si>
  <si>
    <t>prickle2b</t>
  </si>
  <si>
    <t>ENSDARG00000037593</t>
  </si>
  <si>
    <t>prickle homolog 2b [Source:ZFIN;Acc:ZDB-GENE-030724-6]</t>
  </si>
  <si>
    <t>insm1b</t>
  </si>
  <si>
    <t>ENSDARG00000053301</t>
  </si>
  <si>
    <t>insulinoma-associated 1b [Source:ZFIN;Acc:ZDB-GENE-030131-2602]</t>
  </si>
  <si>
    <t>gfi1ab</t>
  </si>
  <si>
    <t>ENSDARG00000044457</t>
  </si>
  <si>
    <t>growth factor independent 1A transcription repressor b [Source:ZFIN;Acc:ZDB-GENE-040116-8]</t>
  </si>
  <si>
    <t>drgx</t>
  </si>
  <si>
    <t>ENSDARG00000069329</t>
  </si>
  <si>
    <t>dorsal root ganglia homeobox [Source:ZFIN;Acc:ZDB-GENE-070330-1]</t>
  </si>
  <si>
    <t>shisa2</t>
  </si>
  <si>
    <t>ENSDARG00000034138</t>
  </si>
  <si>
    <t>shisa family member 2 [Source:ZFIN;Acc:ZDB-GENE-030925-31]</t>
  </si>
  <si>
    <t>kitb</t>
  </si>
  <si>
    <t>ENSDARG00000056133</t>
  </si>
  <si>
    <t>v-kit Hardy-Zuckerman 4 feline sarcoma viral oncogene homolog b [Source:ZFIN;Acc:ZDB-GENE-050916-2]</t>
  </si>
  <si>
    <t>kif19</t>
  </si>
  <si>
    <t>ENSDARG00000053026</t>
  </si>
  <si>
    <t>kinesin family member 19 [Source:ZFIN;Acc:ZDB-GENE-080215-2]</t>
  </si>
  <si>
    <t>foxj1b</t>
  </si>
  <si>
    <t>ENSDARG00000088290</t>
  </si>
  <si>
    <t>forkhead box J1b [Source:ZFIN;Acc:ZDB-GENE-041212-76]</t>
  </si>
  <si>
    <t>tnc</t>
  </si>
  <si>
    <t>ENSDARG00000021948</t>
  </si>
  <si>
    <t>tenascin C [Source:ZFIN;Acc:ZDB-GENE-980526-104]</t>
  </si>
  <si>
    <t>scg3</t>
  </si>
  <si>
    <t>ENSDARG00000086288</t>
  </si>
  <si>
    <t>secretogranin III [Source:ZFIN;Acc:ZDB-GENE-040426-1725]</t>
  </si>
  <si>
    <t>dpysl5a</t>
  </si>
  <si>
    <t>ENSDARG00000011141</t>
  </si>
  <si>
    <t>dihydropyrimidinase-like 5a [Source:ZFIN;Acc:ZDB-GENE-030131-3136]</t>
  </si>
  <si>
    <t>gadd45gb.1</t>
  </si>
  <si>
    <t>ENSDARG00000016725</t>
  </si>
  <si>
    <t>growth arrest and DNA-damage-inducible, gamma b, tandem duplicate 1 [Source:ZFIN;Acc:ZDB-GENE-040426-2321]</t>
  </si>
  <si>
    <t>ccdc30</t>
  </si>
  <si>
    <t>ENSDARG00000056961</t>
  </si>
  <si>
    <t>coiled-coil domain containing 30 [Source:ZFIN;Acc:ZDB-GENE-130530-667]</t>
  </si>
  <si>
    <t>actn1</t>
  </si>
  <si>
    <t>ENSDARG00000007219</t>
  </si>
  <si>
    <t>actinin, alpha 1 [Source:ZFIN;Acc:ZDB-GENE-081113-4]</t>
  </si>
  <si>
    <t>srrm4</t>
  </si>
  <si>
    <t>ENSDARG00000086327</t>
  </si>
  <si>
    <t>serine/arginine repetitive matrix 4 [Source:ZFIN;Acc:ZDB-GENE-050208-34]</t>
  </si>
  <si>
    <t>enc1</t>
  </si>
  <si>
    <t>ENSDARG00000035398</t>
  </si>
  <si>
    <t>ectodermal-neural cortex 1 [Source:ZFIN;Acc:ZDB-GENE-060531-140]</t>
  </si>
  <si>
    <t>sh3kbp1</t>
  </si>
  <si>
    <t>ENSDARG00000075853</t>
  </si>
  <si>
    <t>SH3-domain kinase binding protein 1 [Source:ZFIN;Acc:ZDB-GENE-091204-186]</t>
  </si>
  <si>
    <t>emx2</t>
  </si>
  <si>
    <t>ENSDARG00000039701</t>
  </si>
  <si>
    <t>empty spiracles homeobox 2 [Source:ZFIN;Acc:ZDB-GENE-990415-54]</t>
  </si>
  <si>
    <t>si:dkey-153k10.9</t>
  </si>
  <si>
    <t>ENSDARG00000004386</t>
  </si>
  <si>
    <t>si:dkey-153k10.9 [Source:ZFIN;Acc:ZDB-GENE-030131-3893]</t>
  </si>
  <si>
    <t>flvcr1</t>
  </si>
  <si>
    <t>ENSDARG00000031587</t>
  </si>
  <si>
    <t>feline leukemia virus subgroup C cellular receptor 1 [Source:ZFIN;Acc:ZDB-GENE-041014-359]</t>
  </si>
  <si>
    <t>stk25a</t>
  </si>
  <si>
    <t>ENSDARG00000002210</t>
  </si>
  <si>
    <t>serine/threonine kinase 25a [Source:ZFIN;Acc:ZDB-GENE-041010-92]</t>
  </si>
  <si>
    <t>bcl2l10</t>
  </si>
  <si>
    <t>ENSDARG00000026766</t>
  </si>
  <si>
    <t>BCL2-like 10 (apoptosis facilitator) [Source:ZFIN;Acc:ZDB-GENE-030825-2]</t>
  </si>
  <si>
    <t>WIPF3</t>
  </si>
  <si>
    <t>ENSDARG00000036245</t>
  </si>
  <si>
    <t>sb:cb649 [Source:ZFIN;Acc:ZDB-GENE-030804-15]</t>
  </si>
  <si>
    <t>pcdh7a</t>
  </si>
  <si>
    <t>ENSDARG00000078898</t>
  </si>
  <si>
    <t>protocadherin 7a [Source:ZFIN;Acc:ZDB-GENE-120206-1]</t>
  </si>
  <si>
    <t>ncs1a</t>
  </si>
  <si>
    <t>ENSDARG00000055229</t>
  </si>
  <si>
    <t>neuronal calcium sensor 1a [Source:ZFIN;Acc:ZDB-GENE-021220-1]</t>
  </si>
  <si>
    <t>hk1</t>
  </si>
  <si>
    <t>ENSDARG00000039452</t>
  </si>
  <si>
    <t>hexokinase 1 [Source:ZFIN;Acc:ZDB-GENE-040426-2848]</t>
  </si>
  <si>
    <t>BX323573.2</t>
  </si>
  <si>
    <t>ENSDARG00000100169</t>
  </si>
  <si>
    <t>kank2</t>
  </si>
  <si>
    <t>ENSDARG00000018393</t>
  </si>
  <si>
    <t>KN motif and ankyrin repeat domains 2 [Source:ZFIN;Acc:ZDB-GENE-040724-121]</t>
  </si>
  <si>
    <t>dachc</t>
  </si>
  <si>
    <t>ENSDARG00000003142</t>
  </si>
  <si>
    <t>dachshund c [Source:ZFIN;Acc:ZDB-GENE-020402-5]</t>
  </si>
  <si>
    <t>hspa4a</t>
  </si>
  <si>
    <t>ENSDARG00000004754</t>
  </si>
  <si>
    <t>heat shock protein 4a [Source:ZFIN;Acc:ZDB-GENE-040426-2832]</t>
  </si>
  <si>
    <t>myclb</t>
  </si>
  <si>
    <t>ENSDARG00000034956</t>
  </si>
  <si>
    <t>v-myc avian myelocytomatosis viral oncogene lung carcinoma derived homolog b [Source:ZFIN;Acc:ZDB-GENE-030131-5561]</t>
  </si>
  <si>
    <t>pcdh10b</t>
  </si>
  <si>
    <t>ENSDARG00000102824</t>
  </si>
  <si>
    <t>protocadherin 10b [Source:ZFIN;Acc:ZDB-GENE-030721-4]</t>
  </si>
  <si>
    <t>CBFA2T3</t>
  </si>
  <si>
    <t>ENSDARG00000079012</t>
  </si>
  <si>
    <t>core-binding factor, runt domain, alpha subunit 2; translocated to, 3 [Source:HGNC Symbol;Acc:HGNC:1537]</t>
  </si>
  <si>
    <t>zgc:66433</t>
  </si>
  <si>
    <t>ENSDARG00000071697</t>
  </si>
  <si>
    <t>zgc:66433 [Source:ZFIN;Acc:ZDB-GENE-030131-9832]</t>
  </si>
  <si>
    <t>si:ch211-163l21.4</t>
  </si>
  <si>
    <t>ENSDARG00000078155</t>
  </si>
  <si>
    <t>si:ch211-163l21.4 [Source:ZFIN;Acc:ZDB-GENE-081105-161]</t>
  </si>
  <si>
    <t>tuba1b</t>
  </si>
  <si>
    <t>ENSDARG00000045367</t>
  </si>
  <si>
    <t>tubulin, alpha 1b [Source:ZFIN;Acc:ZDB-GENE-030822-1]</t>
  </si>
  <si>
    <t>hnrnpa0a</t>
  </si>
  <si>
    <t>ENSDARG00000105465</t>
  </si>
  <si>
    <t>kdm6bb</t>
  </si>
  <si>
    <t>ENSDARG00000056929</t>
  </si>
  <si>
    <t>lysine (K)-specific demethylase 6B, b [Source:ZFIN;Acc:ZDB-GENE-040724-166]</t>
  </si>
  <si>
    <t>nfia</t>
  </si>
  <si>
    <t>ENSDARG00000062420</t>
  </si>
  <si>
    <t>nuclear factor I/A [Source:ZFIN;Acc:ZDB-GENE-050208-501]</t>
  </si>
  <si>
    <t>dld</t>
  </si>
  <si>
    <t>ENSDARG00000020219</t>
  </si>
  <si>
    <t>deltaD [Source:ZFIN;Acc:ZDB-GENE-990415-47]</t>
  </si>
  <si>
    <t>syt9a</t>
  </si>
  <si>
    <t>ENSDARG00000003994</t>
  </si>
  <si>
    <t>synaptotagmin IXa [Source:ZFIN;Acc:ZDB-GENE-031002-18]</t>
  </si>
  <si>
    <t>TULP3</t>
  </si>
  <si>
    <t>ENSDARG00000063672</t>
  </si>
  <si>
    <t>tubby like protein 3 [Source:HGNC Symbol;Acc:HGNC:12425]</t>
  </si>
  <si>
    <t>pax2b</t>
  </si>
  <si>
    <t>ENSDARG00000032578</t>
  </si>
  <si>
    <t>paired box 2b [Source:ZFIN;Acc:ZDB-GENE-001030-4]</t>
  </si>
  <si>
    <t>tox</t>
  </si>
  <si>
    <t>ENSDARG00000032317</t>
  </si>
  <si>
    <t>thymocyte selection-associated high mobility group box [Source:ZFIN;Acc:ZDB-GENE-070912-181]</t>
  </si>
  <si>
    <t>fam107b</t>
  </si>
  <si>
    <t>ENSDARG00000026865</t>
  </si>
  <si>
    <t>family with sequence similarity 107, member B [Source:ZFIN;Acc:ZDB-GENE-031030-12]</t>
  </si>
  <si>
    <t>si:dkey-225n22.4</t>
  </si>
  <si>
    <t>ENSDARG00000077245</t>
  </si>
  <si>
    <t>si:dkey-225n22.4 [Source:ZFIN;Acc:ZDB-GENE-120709-30]</t>
  </si>
  <si>
    <t>psmb7</t>
  </si>
  <si>
    <t>ENSDARG00000037962</t>
  </si>
  <si>
    <t>proteasome subunit beta 7 [Source:ZFIN;Acc:ZDB-GENE-001208-4]</t>
  </si>
  <si>
    <t>rab36</t>
  </si>
  <si>
    <t>ENSDARG00000014058</t>
  </si>
  <si>
    <t>RAB36, member RAS oncogene family [Source:ZFIN;Acc:ZDB-GENE-040910-5]</t>
  </si>
  <si>
    <t>wu:fj40g07</t>
  </si>
  <si>
    <t>ENSDARG00000089877</t>
  </si>
  <si>
    <t>wu:fj40g07 [Source:ZFIN;Acc:ZDB-GENE-030131-7914]</t>
  </si>
  <si>
    <t>ppp4r4</t>
  </si>
  <si>
    <t>ENSDARG00000010407</t>
  </si>
  <si>
    <t>protein phosphatase 4, regulatory subunit 4 [Source:ZFIN;Acc:ZDB-GENE-041001-164]</t>
  </si>
  <si>
    <t>myo15b</t>
  </si>
  <si>
    <t>ENSDARG00000074852</t>
  </si>
  <si>
    <t>myosin XVB [Source:ZFIN;Acc:ZDB-GENE-030131-4797]</t>
  </si>
  <si>
    <t>zgc:195245</t>
  </si>
  <si>
    <t>ENSDARG00000078917</t>
  </si>
  <si>
    <t>zgc:195245 [Source:ZFIN;Acc:ZDB-GENE-081022-200]</t>
  </si>
  <si>
    <t>macf1a</t>
  </si>
  <si>
    <t>ENSDARG00000028533</t>
  </si>
  <si>
    <t>microtubule-actin crosslinking factor 1a [Source:ZFIN;Acc:ZDB-GENE-030131-3606]</t>
  </si>
  <si>
    <t>cdkl1</t>
  </si>
  <si>
    <t>ENSDARG00000017329</t>
  </si>
  <si>
    <t>cyclin-dependent kinase-like 1 (CDC2-related kinase) [Source:ZFIN;Acc:ZDB-GENE-040808-34]</t>
  </si>
  <si>
    <t>smad7</t>
  </si>
  <si>
    <t>ENSDARG00000016858</t>
  </si>
  <si>
    <t>SMAD family member 7 [Source:ZFIN;Acc:ZDB-GENE-030128-3]</t>
  </si>
  <si>
    <t>zmat4b</t>
  </si>
  <si>
    <t>ENSDARG00000061419</t>
  </si>
  <si>
    <t>zinc finger, matrin-type 4b [Source:ZFIN;Acc:ZDB-GENE-091118-68]</t>
  </si>
  <si>
    <t>ide</t>
  </si>
  <si>
    <t>ENSDARG00000075570</t>
  </si>
  <si>
    <t>insulin-degrading enzyme [Source:ZFIN;Acc:ZDB-GENE-070410-85]</t>
  </si>
  <si>
    <t>psmd12</t>
  </si>
  <si>
    <t>ENSDARG00000052377</t>
  </si>
  <si>
    <t>proteasome 26S subunit, non-ATPase 12 [Source:ZFIN;Acc:ZDB-GENE-030131-617]</t>
  </si>
  <si>
    <t>zgc:114041</t>
  </si>
  <si>
    <t>ENSDARG00000052109</t>
  </si>
  <si>
    <t>zgc:114041 [Source:ZFIN;Acc:ZDB-GENE-050706-122]</t>
  </si>
  <si>
    <t>mllt3</t>
  </si>
  <si>
    <t>ENSDARG00000006754</t>
  </si>
  <si>
    <t>myeloid/lymphoid or mixed-lineage leukemia (trithorax homolog, Drosophila); translocated to, 3 [Source:ZFIN;Acc:ZDB-GENE-050417-356]</t>
  </si>
  <si>
    <t>tomm40l</t>
  </si>
  <si>
    <t>ENSDARG00000036721</t>
  </si>
  <si>
    <t>translocase of outer mitochondrial membrane 40 homolog, like [Source:ZFIN;Acc:ZDB-GENE-040426-2319]</t>
  </si>
  <si>
    <t>dlb</t>
  </si>
  <si>
    <t>ENSDARG00000004232</t>
  </si>
  <si>
    <t>deltaB [Source:ZFIN;Acc:ZDB-GENE-980526-114]</t>
  </si>
  <si>
    <t>aplnrb</t>
  </si>
  <si>
    <t>ENSDARG00000036670</t>
  </si>
  <si>
    <t>apelin receptor b [Source:ZFIN;Acc:ZDB-GENE-050913-90]</t>
  </si>
  <si>
    <t>zgc:56106</t>
  </si>
  <si>
    <t>ENSDARG00000022564</t>
  </si>
  <si>
    <t>zgc:56106 [Source:ZFIN;Acc:ZDB-GENE-040426-904]</t>
  </si>
  <si>
    <t>dpysl4</t>
  </si>
  <si>
    <t>ENSDARG00000103490</t>
  </si>
  <si>
    <t>dihydropyrimidinase-like 4 [Source:ZFIN;Acc:ZDB-GENE-050720-3]</t>
  </si>
  <si>
    <t>tanc2a</t>
  </si>
  <si>
    <t>ENSDARG00000079097</t>
  </si>
  <si>
    <t>tetratricopeptide repeat, ankyrin repeat and coiled-coil containing 2a [Source:ZFIN;Acc:ZDB-GENE-060130-180]</t>
  </si>
  <si>
    <t>ulk1a</t>
  </si>
  <si>
    <t>ENSDARG00000062518</t>
  </si>
  <si>
    <t>unc-51 like autophagy activating kinase 1a [Source:ZFIN;Acc:ZDB-GENE-080723-31]</t>
  </si>
  <si>
    <t>rtn1a</t>
  </si>
  <si>
    <t>ENSDARG00000006497</t>
  </si>
  <si>
    <t>reticulon 1a [Source:ZFIN;Acc:ZDB-GENE-030131-2426]</t>
  </si>
  <si>
    <t>dlc</t>
  </si>
  <si>
    <t>ENSDARG00000002336</t>
  </si>
  <si>
    <t>deltaC [Source:ZFIN;Acc:ZDB-GENE-000125-4]</t>
  </si>
  <si>
    <t>phb2b</t>
  </si>
  <si>
    <t>ENSDARG00000017728</t>
  </si>
  <si>
    <t>prohibitin 2b [Source:ZFIN;Acc:ZDB-GENE-040718-430]</t>
  </si>
  <si>
    <t>CT737210.1</t>
  </si>
  <si>
    <t>ENSDARG00000101357</t>
  </si>
  <si>
    <t>psmd3</t>
  </si>
  <si>
    <t>ENSDARG00000018124</t>
  </si>
  <si>
    <t>proteasome 26S subunit, non-ATPase 3 [Source:ZFIN;Acc:ZDB-GENE-040426-1444]</t>
  </si>
  <si>
    <t>si:dkey-95p16.2</t>
  </si>
  <si>
    <t>ENSDARG00000093484</t>
  </si>
  <si>
    <t>si:dkey-95p16.2 [Source:ZFIN;Acc:ZDB-GENE-081105-65]</t>
  </si>
  <si>
    <t>odc1</t>
  </si>
  <si>
    <t>ENSDARG00000007377</t>
  </si>
  <si>
    <t>ornithine decarboxylase 1 [Source:ZFIN;Acc:ZDB-GENE-010816-1]</t>
  </si>
  <si>
    <t>si:dkey-16m19.4</t>
  </si>
  <si>
    <t>ENSDARG00000091937</t>
  </si>
  <si>
    <t>si:dkey-16m19.4 [Source:ZFIN;Acc:ZDB-GENE-060503-618]</t>
  </si>
  <si>
    <t>hepacam2</t>
  </si>
  <si>
    <t>ENSDARG00000061365</t>
  </si>
  <si>
    <t>HEPACAM family member 2 [Source:ZFIN;Acc:ZDB-GENE-060503-135]</t>
  </si>
  <si>
    <t>hsp70.3</t>
  </si>
  <si>
    <t>ENSDARG00000021924</t>
  </si>
  <si>
    <t>heat shock cognate 70-kd protein, tandem duplicate 3 [Source:ZFIN;Acc:ZDB-GENE-110713-1]</t>
  </si>
  <si>
    <t>ak9</t>
  </si>
  <si>
    <t>ENSDARG00000021913</t>
  </si>
  <si>
    <t>adenylate kinase 9 [Source:ZFIN;Acc:ZDB-GENE-041014-337]</t>
  </si>
  <si>
    <t>iqce</t>
  </si>
  <si>
    <t>ENSDARG00000089930</t>
  </si>
  <si>
    <t>IQ motif containing E [Source:ZFIN;Acc:ZDB-GENE-090312-217]</t>
  </si>
  <si>
    <t>tcp1</t>
  </si>
  <si>
    <t>ENSDARG00000017891</t>
  </si>
  <si>
    <t>t-complex 1 [Source:ZFIN;Acc:ZDB-GENE-990714-24]</t>
  </si>
  <si>
    <t>hmga1b</t>
  </si>
  <si>
    <t>ENSDARG00000070951</t>
  </si>
  <si>
    <t>high mobility group AT-hook 1b [Source:ZFIN;Acc:ZDB-GENE-061013-204]</t>
  </si>
  <si>
    <t>strbp</t>
  </si>
  <si>
    <t>ENSDARG00000021455</t>
  </si>
  <si>
    <t>spermatid perinuclear RNA binding protein [Source:ZFIN;Acc:ZDB-GENE-030729-18]</t>
  </si>
  <si>
    <t>txnl4a</t>
  </si>
  <si>
    <t>ENSDARG00000036190</t>
  </si>
  <si>
    <t>thioredoxin-like 4A [Source:ZFIN;Acc:ZDB-GENE-041010-25]</t>
  </si>
  <si>
    <t>psma5</t>
  </si>
  <si>
    <t>ENSDARG00000003526</t>
  </si>
  <si>
    <t>proteasome subunit alpha 5 [Source:ZFIN;Acc:ZDB-GENE-040625-96]</t>
  </si>
  <si>
    <t>BX664625.1</t>
  </si>
  <si>
    <t>ENSDARG00000043131</t>
  </si>
  <si>
    <t>rpap3</t>
  </si>
  <si>
    <t>ENSDARG00000087962</t>
  </si>
  <si>
    <t>RNA polymerase II associated protein 3 [Source:ZFIN;Acc:ZDB-GENE-040426-928]</t>
  </si>
  <si>
    <t>ccdc12</t>
  </si>
  <si>
    <t>ENSDARG00000023003</t>
  </si>
  <si>
    <t>coiled-coil domain containing 12 [Source:ZFIN;Acc:ZDB-GENE-040801-108]</t>
  </si>
  <si>
    <t>lbr</t>
  </si>
  <si>
    <t>ENSDARG00000014013</t>
  </si>
  <si>
    <t>lamin B receptor [Source:ZFIN;Acc:ZDB-GENE-030804-11]</t>
  </si>
  <si>
    <t>si:dkey-16l2.17</t>
  </si>
  <si>
    <t>ENSDARG00000027196</t>
  </si>
  <si>
    <t>si:dkey-16l2.17 [Source:ZFIN;Acc:ZDB-GENE-141212-262]</t>
  </si>
  <si>
    <t>arl4ab</t>
  </si>
  <si>
    <t>ENSDARG00000033182</t>
  </si>
  <si>
    <t>ADP-ribosylation factor-like 4ab [Source:ZFIN;Acc:ZDB-GENE-030219-167]</t>
  </si>
  <si>
    <t>ppp1r15b</t>
  </si>
  <si>
    <t>ENSDARG00000068128</t>
  </si>
  <si>
    <t>protein phosphatase 1, regulatory subunit 15B [Source:ZFIN;Acc:ZDB-GENE-030829-40]</t>
  </si>
  <si>
    <t>map3k19</t>
  </si>
  <si>
    <t>ENSDARG00000094272</t>
  </si>
  <si>
    <t>mitogen-activated protein kinase kinase kinase 19 [Source:ZFIN;Acc:ZDB-GENE-081104-140]</t>
  </si>
  <si>
    <t>si:ch211-189k9.2</t>
  </si>
  <si>
    <t>ENSDARG00000079857</t>
  </si>
  <si>
    <t>si:ch211-189k9.2 [Source:ZFIN;Acc:ZDB-GENE-100405-5]</t>
  </si>
  <si>
    <t>tsnaxip1</t>
  </si>
  <si>
    <t>ENSDARG00000030512</t>
  </si>
  <si>
    <t>translin-associated factor X interacting protein 1 [Source:ZFIN;Acc:ZDB-GENE-070424-39]</t>
  </si>
  <si>
    <t>kifc3</t>
  </si>
  <si>
    <t>ENSDARG00000054978</t>
  </si>
  <si>
    <t>kinesin family member C3 [Source:ZFIN;Acc:ZDB-GENE-030131-3724]</t>
  </si>
  <si>
    <t>ttll1</t>
  </si>
  <si>
    <t>ENSDARG00000090778</t>
  </si>
  <si>
    <t>tubulin tyrosine ligase-like family, member 1 [Source:ZFIN;Acc:ZDB-GENE-040426-1326]</t>
  </si>
  <si>
    <t>cdkn1ca</t>
  </si>
  <si>
    <t>ENSDARG00000010878</t>
  </si>
  <si>
    <t>cyclin-dependent kinase inhibitor 1Ca [Source:ZFIN;Acc:ZDB-GENE-040123-1]</t>
  </si>
  <si>
    <t>tmed4</t>
  </si>
  <si>
    <t>ENSDARG00000024954</t>
  </si>
  <si>
    <t>transmembrane p24 trafficking protein 4 [Source:ZFIN;Acc:ZDB-GENE-040625-140]</t>
  </si>
  <si>
    <t>ppid</t>
  </si>
  <si>
    <t>ENSDARG00000038835</t>
  </si>
  <si>
    <t>peptidylprolyl isomerase D [Source:ZFIN;Acc:ZDB-GENE-040625-34]</t>
  </si>
  <si>
    <t>ppih</t>
  </si>
  <si>
    <t>ENSDARG00000041530</t>
  </si>
  <si>
    <t>peptidylprolyl isomerase H (cyclophilin H) [Source:ZFIN;Acc:ZDB-GENE-040625-127]</t>
  </si>
  <si>
    <t>psmb4</t>
  </si>
  <si>
    <t>ENSDARG00000054696</t>
  </si>
  <si>
    <t>proteasome subunit beta 4 [Source:ZFIN;Acc:ZDB-GENE-050417-333]</t>
  </si>
  <si>
    <t>cct5</t>
  </si>
  <si>
    <t>ENSDARG00000045399</t>
  </si>
  <si>
    <t>chaperonin containing TCP1, subunit 5 (epsilon) [Source:ZFIN;Acc:ZDB-GENE-030131-977]</t>
  </si>
  <si>
    <t>si:dkey-188p4.1</t>
  </si>
  <si>
    <t>ENSDARG00000088638</t>
  </si>
  <si>
    <t>si:dkey-188p4.1 [Source:ZFIN;Acc:ZDB-GENE-050208-496]</t>
  </si>
  <si>
    <t>fgfr1op</t>
  </si>
  <si>
    <t>ENSDARG00000003058</t>
  </si>
  <si>
    <t>FGFR1 oncogene partner [Source:ZFIN;Acc:ZDB-GENE-090417-1]</t>
  </si>
  <si>
    <t>mybl1</t>
  </si>
  <si>
    <t>ENSDARG00000030999</t>
  </si>
  <si>
    <t>v-myb avian myeloblastosis viral oncogene homolog-like 1 [Source:ZFIN;Acc:ZDB-GENE-041111-281]</t>
  </si>
  <si>
    <t>h2afvb</t>
  </si>
  <si>
    <t>ENSDARG00000099214</t>
  </si>
  <si>
    <t>H2A histone family, member Vb [Source:ZFIN;Acc:ZDB-GENE-050506-24]</t>
  </si>
  <si>
    <t>hmga1a</t>
  </si>
  <si>
    <t>ENSDARG00000028335</t>
  </si>
  <si>
    <t>high mobility group AT-hook 1a [Source:ZFIN;Acc:ZDB-GENE-010502-1]</t>
  </si>
  <si>
    <t>psma8</t>
  </si>
  <si>
    <t>ENSDARG00000010965</t>
  </si>
  <si>
    <t>proteasome subunit alpha 8 [Source:ZFIN;Acc:ZDB-GENE-040426-2194]</t>
  </si>
  <si>
    <t>pomp</t>
  </si>
  <si>
    <t>ENSDARG00000032296</t>
  </si>
  <si>
    <t>proteasome maturation protein [Source:ZFIN;Acc:ZDB-GENE-040801-10]</t>
  </si>
  <si>
    <t>txlna</t>
  </si>
  <si>
    <t>ENSDARG00000077037</t>
  </si>
  <si>
    <t>taxilin alpha [Source:ZFIN;Acc:ZDB-GENE-030131-2900]</t>
  </si>
  <si>
    <t>psmb1</t>
  </si>
  <si>
    <t>ENSDARG00000009640</t>
  </si>
  <si>
    <t>proteasome subunit beta 1 [Source:ZFIN;Acc:ZDB-GENE-040618-2]</t>
  </si>
  <si>
    <t>rgs12b</t>
  </si>
  <si>
    <t>ENSDARG00000036774</t>
  </si>
  <si>
    <t>regulator of G-protein signaling 12b [Source:ZFIN;Acc:ZDB-GENE-031006-13]</t>
  </si>
  <si>
    <t>CCDC57</t>
  </si>
  <si>
    <t>ENSDARG00000089863</t>
  </si>
  <si>
    <t>coiled-coil domain-containing protein 57  [Source:RefSeq peptide;Acc:NP_001188491]</t>
  </si>
  <si>
    <t>tomm34</t>
  </si>
  <si>
    <t>ENSDARG00000001557</t>
  </si>
  <si>
    <t>translocase of outer mitochondrial membrane 34 [Source:ZFIN;Acc:ZDB-GENE-030131-2081]</t>
  </si>
  <si>
    <t>gclc</t>
  </si>
  <si>
    <t>ENSDARG00000013095</t>
  </si>
  <si>
    <t>glutamate-cysteine ligase, catalytic subunit [Source:ZFIN;Acc:ZDB-GENE-030131-5056]</t>
  </si>
  <si>
    <t>nr2f6a</t>
  </si>
  <si>
    <t>ENSDARG00000003607</t>
  </si>
  <si>
    <t>nuclear receptor subfamily 2, group F, member 6a [Source:ZFIN;Acc:ZDB-GENE-030131-4362]</t>
  </si>
  <si>
    <t>psmc6</t>
  </si>
  <si>
    <t>ENSDARG00000037038</t>
  </si>
  <si>
    <t>proteasome 26S subunit, ATPase 6 [Source:ZFIN;Acc:ZDB-GENE-030131-304]</t>
  </si>
  <si>
    <t>lsm6</t>
  </si>
  <si>
    <t>ENSDARG00000036995</t>
  </si>
  <si>
    <t>LSM6 homolog, U6 small nuclear RNA and mRNA degradation associated [Source:ZFIN;Acc:ZDB-GENE-040625-50]</t>
  </si>
  <si>
    <t>EML5</t>
  </si>
  <si>
    <t>ENSDARG00000053517</t>
  </si>
  <si>
    <t>si:dkey-1f12.3 [Source:ZFIN;Acc:ZDB-GENE-030131-1677]</t>
  </si>
  <si>
    <t>sf3b5</t>
  </si>
  <si>
    <t>ENSDARG00000016855</t>
  </si>
  <si>
    <t>splicing factor 3b, subunit 5 [Source:ZFIN;Acc:ZDB-GENE-040718-181]</t>
  </si>
  <si>
    <t>si:dkey-114c15.5</t>
  </si>
  <si>
    <t>ENSDARG00000095150</t>
  </si>
  <si>
    <t>si:dkey-114c15.5 [Source:ZFIN;Acc:ZDB-GENE-060531-72]</t>
  </si>
  <si>
    <t>psmc1a</t>
  </si>
  <si>
    <t>ENSDARG00000030537</t>
  </si>
  <si>
    <t>proteasome 26S subunit, ATPase 1a [Source:ZFIN;Acc:ZDB-GENE-030131-8730]</t>
  </si>
  <si>
    <t>psmb6</t>
  </si>
  <si>
    <t>ENSDARG00000002240</t>
  </si>
  <si>
    <t>proteasome subunit beta 6 [Source:ZFIN;Acc:ZDB-GENE-990415-216]</t>
  </si>
  <si>
    <t>mns1</t>
  </si>
  <si>
    <t>ENSDARG00000060169</t>
  </si>
  <si>
    <t>meiosis-specific nuclear structural 1 [Source:ZFIN;Acc:ZDB-GENE-030521-42]</t>
  </si>
  <si>
    <t>caprin1a</t>
  </si>
  <si>
    <t>ENSDARG00000009346</t>
  </si>
  <si>
    <t>cell cycle associated protein 1a [Source:ZFIN;Acc:ZDB-GENE-040801-226]</t>
  </si>
  <si>
    <t>si:ch211-51e12.7</t>
  </si>
  <si>
    <t>ENSDARG00000045914</t>
  </si>
  <si>
    <t>si:ch211-51e12.7 [Source:ZFIN;Acc:ZDB-GENE-030131-8279]</t>
  </si>
  <si>
    <t>gadd45ga</t>
  </si>
  <si>
    <t>ENSDARG00000019417</t>
  </si>
  <si>
    <t>growth arrest and DNA-damage-inducible, gamma a [Source:ZFIN;Acc:ZDB-GENE-040426-1882]</t>
  </si>
  <si>
    <t>usp14</t>
  </si>
  <si>
    <t>ENSDARG00000025889</t>
  </si>
  <si>
    <t>ubiquitin specific peptidase 14 (tRNA-guanine transglycosylase) [Source:ZFIN;Acc:ZDB-GENE-030131-7676]</t>
  </si>
  <si>
    <t>six4b</t>
  </si>
  <si>
    <t>ENSDARG00000031983</t>
  </si>
  <si>
    <t>SIX homeobox 4b [Source:ZFIN;Acc:ZDB-GENE-010201-1]</t>
  </si>
  <si>
    <t>syne1b</t>
  </si>
  <si>
    <t>ENSDARG00000063068</t>
  </si>
  <si>
    <t>spectrin repeat containing, nuclear envelope 1b [Source:ZFIN;Acc:ZDB-GENE-071218-4]</t>
  </si>
  <si>
    <t>wdr34</t>
  </si>
  <si>
    <t>ENSDARG00000057635</t>
  </si>
  <si>
    <t>WD repeat domain 34 [Source:ZFIN;Acc:ZDB-GENE-070928-9]</t>
  </si>
  <si>
    <t>hdgfrp2</t>
  </si>
  <si>
    <t>ENSDARG00000019530</t>
  </si>
  <si>
    <t>hepatoma-derived growth factor-related protein 2 [Source:ZFIN;Acc:ZDB-GENE-040426-2104]</t>
  </si>
  <si>
    <t>tardbp</t>
  </si>
  <si>
    <t>ENSDARG00000040031</t>
  </si>
  <si>
    <t>TAR DNA binding protein [Source:ZFIN;Acc:ZDB-GENE-030131-3777]</t>
  </si>
  <si>
    <t>samd13</t>
  </si>
  <si>
    <t>ENSDARG00000062977</t>
  </si>
  <si>
    <t>sterile alpha motif domain containing 13 [Source:ZFIN;Acc:ZDB-GENE-060929-676]</t>
  </si>
  <si>
    <t>psma4</t>
  </si>
  <si>
    <t>ENSDARG00000045928</t>
  </si>
  <si>
    <t>proteasome subunit alpha 4 [Source:ZFIN;Acc:ZDB-GENE-040426-1932]</t>
  </si>
  <si>
    <t>psmd6</t>
  </si>
  <si>
    <t>ENSDARG00000070674</t>
  </si>
  <si>
    <t>proteasome 26S subunit, non-ATPase 6 [Source:ZFIN;Acc:ZDB-GENE-040426-1038]</t>
  </si>
  <si>
    <t>psmc4</t>
  </si>
  <si>
    <t>ENSDARG00000027099</t>
  </si>
  <si>
    <t>proteasome 26S subunit, ATPase 4 [Source:ZFIN;Acc:ZDB-GENE-030131-5083]</t>
  </si>
  <si>
    <t>wdr92</t>
  </si>
  <si>
    <t>ENSDARG00000037334</t>
  </si>
  <si>
    <t>WD repeat domain 92 [Source:ZFIN;Acc:ZDB-GENE-050417-93]</t>
  </si>
  <si>
    <t>sox1b</t>
  </si>
  <si>
    <t>ENSDARG00000008131</t>
  </si>
  <si>
    <t>SRY (sex determining region Y)-box 1b [Source:ZFIN;Acc:ZDB-GENE-060322-5]</t>
  </si>
  <si>
    <t>psma6a</t>
  </si>
  <si>
    <t>ENSDARG00000019398</t>
  </si>
  <si>
    <t>proteasome subunit alpha 6a [Source:ZFIN;Acc:ZDB-GENE-020326-1]</t>
  </si>
  <si>
    <t>cct7</t>
  </si>
  <si>
    <t>ENSDARG00000007385</t>
  </si>
  <si>
    <t>chaperonin containing TCP1, subunit 7 (eta) [Source:ZFIN;Acc:ZDB-GENE-020419-7]</t>
  </si>
  <si>
    <t>hspa9</t>
  </si>
  <si>
    <t>ENSDARG00000003035</t>
  </si>
  <si>
    <t>heat shock protein 9 [Source:ZFIN;Acc:ZDB-GENE-030828-12]</t>
  </si>
  <si>
    <t>poldip3</t>
  </si>
  <si>
    <t>ENSDARG00000099375</t>
  </si>
  <si>
    <t>polymerase (DNA-directed), delta interacting protein 3 [Source:ZFIN;Acc:ZDB-GENE-120201-2]</t>
  </si>
  <si>
    <t>si:ch211-275j6.5</t>
  </si>
  <si>
    <t>ENSDARG00000097803</t>
  </si>
  <si>
    <t>si:ch211-275j6.5 [Source:ZFIN;Acc:ZDB-GENE-130109-1]</t>
  </si>
  <si>
    <t>tomm6</t>
  </si>
  <si>
    <t>ENSDARG00000097797</t>
  </si>
  <si>
    <t>translocase of outer mitochondrial membrane 6 homolog (yeast) [Source:ZFIN;Acc:ZDB-GENE-131121-445]</t>
  </si>
  <si>
    <t>zbtb18</t>
  </si>
  <si>
    <t>ENSDARG00000028228</t>
  </si>
  <si>
    <t>zinc finger and BTB domain containing 18 [Source:ZFIN;Acc:ZDB-GENE-050419-73]</t>
  </si>
  <si>
    <t>arhgef10lb</t>
  </si>
  <si>
    <t>ENSDARG00000074244</t>
  </si>
  <si>
    <t>Rho guanine nucleotide exchange factor (GEF) 10-like b [Source:ZFIN;Acc:ZDB-GENE-090313-222]</t>
  </si>
  <si>
    <t>nkain1</t>
  </si>
  <si>
    <t>ENSDARG00000006859</t>
  </si>
  <si>
    <t>Na+/K+ transporting ATPase interacting 1 [Source:ZFIN;Acc:ZDB-GENE-040426-1472]</t>
  </si>
  <si>
    <t>snrpe</t>
  </si>
  <si>
    <t>ENSDARG00000033175</t>
  </si>
  <si>
    <t>small nuclear ribonucleoprotein polypeptide E [Source:ZFIN;Acc:ZDB-GENE-040426-1112]</t>
  </si>
  <si>
    <t>vcp</t>
  </si>
  <si>
    <t>ENSDARG00000020008</t>
  </si>
  <si>
    <t>valosin containing protein [Source:ZFIN;Acc:ZDB-GENE-030131-5408]</t>
  </si>
  <si>
    <t>psma1</t>
  </si>
  <si>
    <t>ENSDARG00000101560</t>
  </si>
  <si>
    <t>proteasome subunit alpha 1 [Source:ZFIN;Acc:ZDB-GENE-040801-15]</t>
  </si>
  <si>
    <t>psmc1b</t>
  </si>
  <si>
    <t>ENSDARG00000043561</t>
  </si>
  <si>
    <t>proteasome 26S subunit, ATPase 1b [Source:ZFIN;Acc:ZDB-GENE-040625-69]</t>
  </si>
  <si>
    <t>dyrk2</t>
  </si>
  <si>
    <t>ENSDARG00000094646</t>
  </si>
  <si>
    <t>dual-specificity tyrosine-(Y)-phosphorylation regulated kinase 2 [Source:ZFIN;Acc:ZDB-GENE-030131-2804]</t>
  </si>
  <si>
    <t>ptges3b</t>
  </si>
  <si>
    <t>ENSDARG00000089626</t>
  </si>
  <si>
    <t>prostaglandin E synthase 3b (cytosolic) [Source:ZFIN;Acc:ZDB-GENE-040625-144]</t>
  </si>
  <si>
    <t>cxcr4b</t>
  </si>
  <si>
    <t>ENSDARG00000041959</t>
  </si>
  <si>
    <t>chemokine (C-X-C motif), receptor 4b [Source:ZFIN;Acc:ZDB-GENE-010614-1]</t>
  </si>
  <si>
    <t>mrpl14</t>
  </si>
  <si>
    <t>ENSDARG00000068886</t>
  </si>
  <si>
    <t>mitochondrial ribosomal protein L14 [Source:ZFIN;Acc:ZDB-GENE-040426-1066]</t>
  </si>
  <si>
    <t>nek1</t>
  </si>
  <si>
    <t>ENSDARG00000022350</t>
  </si>
  <si>
    <t>NIMA-related kinase 1 [Source:ZFIN;Acc:ZDB-GENE-040730-1]</t>
  </si>
  <si>
    <t>nsfl1c</t>
  </si>
  <si>
    <t>ENSDARG00000087640</t>
  </si>
  <si>
    <t>NSFL1 (p97) cofactor (p47) [Source:ZFIN;Acc:ZDB-GENE-041114-160]</t>
  </si>
  <si>
    <t>si:dkey-276j7.1</t>
  </si>
  <si>
    <t>ENSDARG00000090872</t>
  </si>
  <si>
    <t>si:dkey-276j7.1 [Source:ZFIN;Acc:ZDB-GENE-060720-44]</t>
  </si>
  <si>
    <t>rem2</t>
  </si>
  <si>
    <t>ENSDARG00000074064</t>
  </si>
  <si>
    <t>RAS (RAD and GEM)-like GTP binding 2 [Source:ZFIN;Acc:ZDB-GENE-081110-1]</t>
  </si>
  <si>
    <t>hes6</t>
  </si>
  <si>
    <t>ENSDARG00000019335</t>
  </si>
  <si>
    <t>hes family bHLH transcription factor 6 [Source:ZFIN;Acc:ZDB-GENE-030828-5]</t>
  </si>
  <si>
    <t>psmc3</t>
  </si>
  <si>
    <t>ENSDARG00000007141</t>
  </si>
  <si>
    <t>proteasome 26S subunit, ATPase 3 [Source:ZFIN;Acc:ZDB-GENE-030131-666]</t>
  </si>
  <si>
    <t>psma3</t>
  </si>
  <si>
    <t>ENSDARG00000086618</t>
  </si>
  <si>
    <t>proteasome subunit alpha 3 [Source:ZFIN;Acc:ZDB-GENE-050913-120]</t>
  </si>
  <si>
    <t>wdr66</t>
  </si>
  <si>
    <t>ENSDARG00000059855</t>
  </si>
  <si>
    <t>WD repeat domain 66 [Source:ZFIN;Acc:ZDB-GENE-060526-328]</t>
  </si>
  <si>
    <t>fasn</t>
  </si>
  <si>
    <t>ENSDARG00000087657</t>
  </si>
  <si>
    <t>fatty acid synthase [Source:ZFIN;Acc:ZDB-GENE-030131-7802]</t>
  </si>
  <si>
    <t>psmd13</t>
  </si>
  <si>
    <t>ENSDARG00000016239</t>
  </si>
  <si>
    <t>proteasome 26S subunit, non-ATPase 13 [Source:ZFIN;Acc:ZDB-GENE-040426-1004]</t>
  </si>
  <si>
    <t>cfap74</t>
  </si>
  <si>
    <t>ENSDARG00000075917</t>
  </si>
  <si>
    <t>cilia and flagella associated protein 74 [Source:ZFIN;Acc:ZDB-GENE-081104-480]</t>
  </si>
  <si>
    <t>psmd4a</t>
  </si>
  <si>
    <t>ENSDARG00000101295</t>
  </si>
  <si>
    <t>proteasome 26S subunit, non-ATPase 4a [Source:ZFIN;Acc:ZDB-GENE-040625-104]</t>
  </si>
  <si>
    <t>psma6b</t>
  </si>
  <si>
    <t>ENSDARG00000013966</t>
  </si>
  <si>
    <t>proteasome subunit alpha 6b [Source:ZFIN;Acc:ZDB-GENE-040718-329]</t>
  </si>
  <si>
    <t>dnajc6</t>
  </si>
  <si>
    <t>ENSDARG00000079891</t>
  </si>
  <si>
    <t>DnaJ (Hsp40) homolog, subfamily C, member 6 [Source:ZFIN;Acc:ZDB-GENE-080104-2]</t>
  </si>
  <si>
    <t>znf395</t>
  </si>
  <si>
    <t>ENSDARG00000006672</t>
  </si>
  <si>
    <t>zinc finger protein 395 [Source:ZFIN;Acc:ZDB-GENE-031002-50]</t>
  </si>
  <si>
    <t>ing4</t>
  </si>
  <si>
    <t>ENSDARG00000030716</t>
  </si>
  <si>
    <t>inhibitor of growth family, member 4 [Source:ZFIN;Acc:ZDB-GENE-050522-47]</t>
  </si>
  <si>
    <t>sox4a.1</t>
  </si>
  <si>
    <t>ENSDARG00000096389</t>
  </si>
  <si>
    <t>sox4a</t>
  </si>
  <si>
    <t>SRY (sex determining region Y)-box 4a [Source:ZFIN;Acc:ZDB-GENE-030131-8290]</t>
  </si>
  <si>
    <t>fabp3</t>
  </si>
  <si>
    <t>ENSDARG00000023290</t>
  </si>
  <si>
    <t>fatty acid binding protein 3, muscle and heart [Source:ZFIN;Acc:ZDB-GENE-020318-2]</t>
  </si>
  <si>
    <t>gpatch11</t>
  </si>
  <si>
    <t>ENSDARG00000026892</t>
  </si>
  <si>
    <t>G patch domain containing 11 [Source:ZFIN;Acc:ZDB-GENE-040718-89]</t>
  </si>
  <si>
    <t>psmc5</t>
  </si>
  <si>
    <t>ENSDARG00000015315</t>
  </si>
  <si>
    <t>proteasome 26S subunit, ATPase 5 [Source:ZFIN;Acc:ZDB-GENE-030131-6547]</t>
  </si>
  <si>
    <t>cbsb</t>
  </si>
  <si>
    <t>ENSDARG00000010946</t>
  </si>
  <si>
    <t>cystathionine-beta-synthase b [Source:ZFIN;Acc:ZDB-GENE-021030-3]</t>
  </si>
  <si>
    <t>rhbdf1a</t>
  </si>
  <si>
    <t>ENSDARG00000036541</t>
  </si>
  <si>
    <t>rhomboid 5 homolog 1a (Drosophila) [Source:ZFIN;Acc:ZDB-GENE-040704-75]</t>
  </si>
  <si>
    <t>rnf181</t>
  </si>
  <si>
    <t>ENSDARG00000023958</t>
  </si>
  <si>
    <t>ring finger protein 181 [Source:ZFIN;Acc:ZDB-GENE-040426-1024]</t>
  </si>
  <si>
    <t>psmd7</t>
  </si>
  <si>
    <t>ENSDARG00000102417</t>
  </si>
  <si>
    <t>proteasome 26S subunit, non-ATPase 7 [Source:ZFIN;Acc:ZDB-GENE-030131-5541]</t>
  </si>
  <si>
    <t>gid8a</t>
  </si>
  <si>
    <t>ENSDARG00000022768</t>
  </si>
  <si>
    <t>GID complex subunit 8 homolog a (S. cerevisiae) [Source:ZFIN;Acc:ZDB-GENE-040426-1669]</t>
  </si>
  <si>
    <t>kifap3a</t>
  </si>
  <si>
    <t>ENSDARG00000008639</t>
  </si>
  <si>
    <t>kinesin-associated protein 3a [Source:ZFIN;Acc:ZDB-GENE-040912-74]</t>
  </si>
  <si>
    <t>kcnab2a</t>
  </si>
  <si>
    <t>ENSDARG00000087247</t>
  </si>
  <si>
    <t>potassium voltage-gated channel, shaker-related subfamily, beta member 2 a [Source:ZFIN;Acc:ZDB-GENE-140515-2]</t>
  </si>
  <si>
    <t>rbm38</t>
  </si>
  <si>
    <t>ENSDARG00000058818</t>
  </si>
  <si>
    <t>RNA binding motif protein 38 [Source:ZFIN;Acc:ZDB-GENE-030131-5923]</t>
  </si>
  <si>
    <t>si:ch211-250m6.8</t>
  </si>
  <si>
    <t>ENSDARG00000096767</t>
  </si>
  <si>
    <t>si:ch211-250m6.8 [Source:ZFIN;Acc:ZDB-GENE-060503-130]</t>
  </si>
  <si>
    <t>hnrnpc</t>
  </si>
  <si>
    <t>ENSDARG00000053810</t>
  </si>
  <si>
    <t>heterogeneous nuclear ribonucleoprotein C [Source:ZFIN;Acc:ZDB-GENE-040426-2043]</t>
  </si>
  <si>
    <t>dynlrb1</t>
  </si>
  <si>
    <t>ENSDARG00000021582</t>
  </si>
  <si>
    <t>dynein, light chain, roadblock-type 1 [Source:ZFIN;Acc:ZDB-GENE-040426-989]</t>
  </si>
  <si>
    <t>si:ch211-284b7.3</t>
  </si>
  <si>
    <t>ENSDARG00000063341</t>
  </si>
  <si>
    <t>si:ch211-284b7.3 [Source:ZFIN;Acc:ZDB-GENE-061207-34]</t>
  </si>
  <si>
    <t>rabl2</t>
  </si>
  <si>
    <t>ENSDARG00000063321</t>
  </si>
  <si>
    <t>RAB, member of RAS oncogene family-like 2 [Source:ZFIN;Acc:ZDB-GENE-060503-464]</t>
  </si>
  <si>
    <t>sorbs1</t>
  </si>
  <si>
    <t>ENSDARG00000103435</t>
  </si>
  <si>
    <t>sorbin and SH3 domain containing 1 [Source:ZFIN;Acc:ZDB-GENE-090313-168]</t>
  </si>
  <si>
    <t>cnbpb</t>
  </si>
  <si>
    <t>ENSDARG00000070922</t>
  </si>
  <si>
    <t>CCHC-type zinc finger, nucleic acid binding protein b [Source:ZFIN;Acc:ZDB-GENE-030131-7782]</t>
  </si>
  <si>
    <t>cops2</t>
  </si>
  <si>
    <t>ENSDARG00000004785</t>
  </si>
  <si>
    <t>COP9 signalosome subunit 2 [Source:ZFIN;Acc:ZDB-GENE-040625-15]</t>
  </si>
  <si>
    <t>emc9</t>
  </si>
  <si>
    <t>ENSDARG00000034633</t>
  </si>
  <si>
    <t>ER membrane protein complex subunit 9 [Source:ZFIN;Acc:ZDB-GENE-040426-693]</t>
  </si>
  <si>
    <t>vsig8a</t>
  </si>
  <si>
    <t>ENSDARG00000054050</t>
  </si>
  <si>
    <t>V-set and immunoglobulin domain containing 8a [Source:ZFIN;Acc:ZDB-GENE-050417-338]</t>
  </si>
  <si>
    <t>h2afva</t>
  </si>
  <si>
    <t>ENSDARG00000068820</t>
  </si>
  <si>
    <t>H2A histone family, member Va [Source:ZFIN;Acc:ZDB-GENE-020717-1]</t>
  </si>
  <si>
    <t>nmt1a</t>
  </si>
  <si>
    <t>ENSDARG00000052966</t>
  </si>
  <si>
    <t>N-myristoyltransferase 1a [Source:ZFIN;Acc:ZDB-GENE-050522-477]</t>
  </si>
  <si>
    <t>cirbpa</t>
  </si>
  <si>
    <t>ENSDARG00000103672</t>
  </si>
  <si>
    <t>cold inducible RNA binding protein a [Source:ZFIN;Acc:ZDB-GENE-050417-329]</t>
  </si>
  <si>
    <t>aurkaip1</t>
  </si>
  <si>
    <t>ENSDARG00000074985</t>
  </si>
  <si>
    <t>aurora kinase A interacting protein 1 [Source:ZFIN;Acc:ZDB-GENE-070928-24]</t>
  </si>
  <si>
    <t>cyb5d1</t>
  </si>
  <si>
    <t>ENSDARG00000056007</t>
  </si>
  <si>
    <t>cytochrome b5 domain containing 1 [Source:ZFIN;Acc:ZDB-GENE-050417-173]</t>
  </si>
  <si>
    <t>tarsl2</t>
  </si>
  <si>
    <t>ENSDARG00000092774</t>
  </si>
  <si>
    <t>threonyl-tRNA synthetase-like 2 [Source:ZFIN;Acc:ZDB-GENE-081104-490]</t>
  </si>
  <si>
    <t>smarca4a</t>
  </si>
  <si>
    <t>ENSDARG00000077226</t>
  </si>
  <si>
    <t>SWI/SNF related, matrix associated, actin dependent regulator of chromatin, subfamily a, member 4a [Source:ZFIN;Acc:ZDB-GENE-030605-1]</t>
  </si>
  <si>
    <t>rtn4b</t>
  </si>
  <si>
    <t>ENSDARG00000104347</t>
  </si>
  <si>
    <t>reticulon 4b [Source:ZFIN;Acc:ZDB-GENE-030710-2]</t>
  </si>
  <si>
    <t>atp2a2b</t>
  </si>
  <si>
    <t>ENSDARG00000005122</t>
  </si>
  <si>
    <t>ATPase, Ca++ transporting, cardiac muscle, slow twitch 2b [Source:ZFIN;Acc:ZDB-GENE-030131-867]</t>
  </si>
  <si>
    <t>hpca</t>
  </si>
  <si>
    <t>ENSDARG00000018397</t>
  </si>
  <si>
    <t>hippocalcin [Source:ZFIN;Acc:ZDB-GENE-040426-1683]</t>
  </si>
  <si>
    <t>eny2</t>
  </si>
  <si>
    <t>ENSDARG00000070046</t>
  </si>
  <si>
    <t>enhancer of yellow 2 homolog (Drosophila) [Source:ZFIN;Acc:ZDB-GENE-040718-124]</t>
  </si>
  <si>
    <t>nudc</t>
  </si>
  <si>
    <t>ENSDARG00000104837</t>
  </si>
  <si>
    <t>nudC nuclear distribution protein [Source:ZFIN;Acc:ZDB-GENE-040426-899]</t>
  </si>
  <si>
    <t>vdac2</t>
  </si>
  <si>
    <t>ENSDARG00000013623</t>
  </si>
  <si>
    <t>voltage-dependent anion channel 2 [Source:ZFIN;Acc:ZDB-GENE-030131-845]</t>
  </si>
  <si>
    <t>zgc:101851</t>
  </si>
  <si>
    <t>ENSDARG00000037199</t>
  </si>
  <si>
    <t>zgc:101851 [Source:ZFIN;Acc:ZDB-GENE-040912-123]</t>
  </si>
  <si>
    <t>mtdhb</t>
  </si>
  <si>
    <t>ENSDARG00000004939</t>
  </si>
  <si>
    <t>metadherin b [Source:ZFIN;Acc:ZDB-GENE-090929-2]</t>
  </si>
  <si>
    <t>srsf9</t>
  </si>
  <si>
    <t>ENSDARG00000008097</t>
  </si>
  <si>
    <t>serine/arginine-rich splicing factor 9 [Source:ZFIN;Acc:ZDB-GENE-040426-2397]</t>
  </si>
  <si>
    <t>pin4</t>
  </si>
  <si>
    <t>ENSDARG00000004527</t>
  </si>
  <si>
    <t>protein (peptidylprolyl cis/trans isomerase) NIMA-interacting, 4 (parvulin) [Source:ZFIN;Acc:ZDB-GENE-050522-117]</t>
  </si>
  <si>
    <t>chd7</t>
  </si>
  <si>
    <t>ENSDARG00000075211</t>
  </si>
  <si>
    <t>chromodomain helicase DNA binding protein 7 [Source:ZFIN;Acc:ZDB-GENE-070912-179]</t>
  </si>
  <si>
    <t>akap8l</t>
  </si>
  <si>
    <t>ENSDARG00000099635</t>
  </si>
  <si>
    <t>A kinase (PRKA) anchor protein 8-like [Source:ZFIN;Acc:ZDB-GENE-040426-2303]</t>
  </si>
  <si>
    <t>coa3a</t>
  </si>
  <si>
    <t>ENSDARG00000100585</t>
  </si>
  <si>
    <t>cytochrome C oxidase assembly factor 3a [Source:ZFIN;Acc:ZDB-GENE-060810-187]</t>
  </si>
  <si>
    <t>pdzd8</t>
  </si>
  <si>
    <t>ENSDARG00000088699</t>
  </si>
  <si>
    <t>PDZ domain containing 8 [Source:ZFIN;Acc:ZDB-GENE-110310-2]</t>
  </si>
  <si>
    <t>mrpl17</t>
  </si>
  <si>
    <t>ENSDARG00000075677</t>
  </si>
  <si>
    <t>mitochondrial ribosomal protein L17 [Source:ZFIN;Acc:ZDB-GENE-040912-133]</t>
  </si>
  <si>
    <t>ilf2</t>
  </si>
  <si>
    <t>ENSDARG00000014591</t>
  </si>
  <si>
    <t>interleukin enhancer binding factor 2 [Source:ZFIN;Acc:ZDB-GENE-040426-2345]</t>
  </si>
  <si>
    <t>sdprb</t>
  </si>
  <si>
    <t>ENSDARG00000071196</t>
  </si>
  <si>
    <t>serum deprivation response b [Source:ZFIN;Acc:ZDB-GENE-040912-149]</t>
  </si>
  <si>
    <t>tpm2</t>
  </si>
  <si>
    <t>ENSDARG00000104682</t>
  </si>
  <si>
    <t>tropomyosin 2 (beta) [Source:ZFIN;Acc:ZDB-GENE-040625-114]</t>
  </si>
  <si>
    <t>insm1a</t>
  </si>
  <si>
    <t>ENSDARG00000091756</t>
  </si>
  <si>
    <t>insulinoma-associated 1a [Source:ZFIN;Acc:ZDB-GENE-040426-1810]</t>
  </si>
  <si>
    <t>snrpf</t>
  </si>
  <si>
    <t>ENSDARG00000105037</t>
  </si>
  <si>
    <t>small nuclear ribonucleoprotein polypeptide F [Source:ZFIN;Acc:ZDB-GENE-040930-9]</t>
  </si>
  <si>
    <t>cct4</t>
  </si>
  <si>
    <t>ENSDARG00000013475</t>
  </si>
  <si>
    <t>chaperonin containing TCP1, subunit 4 (delta) [Source:ZFIN;Acc:ZDB-GENE-040426-1421]</t>
  </si>
  <si>
    <t>si:rp71-45k5.4</t>
  </si>
  <si>
    <t>ENSDARG00000035679</t>
  </si>
  <si>
    <t>si:rp71-45k5.4 [Source:ZFIN;Acc:ZDB-GENE-060503-941]</t>
  </si>
  <si>
    <t>rpl22l1</t>
  </si>
  <si>
    <t>ENSDARG00000010244</t>
  </si>
  <si>
    <t>ribosomal protein L22-like 1 [Source:ZFIN;Acc:ZDB-GENE-060804-3]</t>
  </si>
  <si>
    <t>slirp</t>
  </si>
  <si>
    <t>ENSDARG00000097753</t>
  </si>
  <si>
    <t>SRA stem-loop interacting RNA binding protein [Source:ZFIN;Acc:ZDB-GENE-030729-30]</t>
  </si>
  <si>
    <t>immt</t>
  </si>
  <si>
    <t>ENSDARG00000102874</t>
  </si>
  <si>
    <t>inner membrane protein, mitochondrial (mitofilin) [Source:ZFIN;Acc:ZDB-GENE-030131-5417]</t>
  </si>
  <si>
    <t>srsf3b</t>
  </si>
  <si>
    <t>ENSDARG00000059360</t>
  </si>
  <si>
    <t>serine/arginine-rich splicing factor 3b [Source:ZFIN;Acc:ZDB-GENE-071005-2]</t>
  </si>
  <si>
    <t>ankrd13d</t>
  </si>
  <si>
    <t>ENSDARG00000098140</t>
  </si>
  <si>
    <t>ankyrin repeat domain 13 family, member D [Source:ZFIN;Acc:ZDB-GENE-101007-3]</t>
  </si>
  <si>
    <t>mibp2</t>
  </si>
  <si>
    <t>ENSDARG00000101844</t>
  </si>
  <si>
    <t>muscle-specific beta 1 integrin binding protein 2 [Source:ZFIN;Acc:ZDB-GENE-031113-14]</t>
  </si>
  <si>
    <t>six1a</t>
  </si>
  <si>
    <t>ENSDARG00000039304</t>
  </si>
  <si>
    <t>SIX homeobox 1a [Source:ZFIN;Acc:ZDB-GENE-040718-155]</t>
  </si>
  <si>
    <t>psmd14</t>
  </si>
  <si>
    <t>ENSDARG00000063100</t>
  </si>
  <si>
    <t>proteasome 26S subunit, non-ATPase 14 [Source:ZFIN;Acc:ZDB-GENE-070410-56]</t>
  </si>
  <si>
    <t>ruvbl1</t>
  </si>
  <si>
    <t>ENSDARG00000002591</t>
  </si>
  <si>
    <t>RuvB-like AAA ATPase 1 [Source:ZFIN;Acc:ZDB-GENE-030109-2]</t>
  </si>
  <si>
    <t>si:rp71-68n21.12</t>
  </si>
  <si>
    <t>ENSDARG00000077382</t>
  </si>
  <si>
    <t>si:rp71-68n21.12 [Source:ZFIN;Acc:ZDB-GENE-081105-169]</t>
  </si>
  <si>
    <t>arhgef9b</t>
  </si>
  <si>
    <t>ENSDARG00000078624</t>
  </si>
  <si>
    <t>Cdc42 guanine nucleotide exchange factor (GEF) 9b [Source:ZFIN;Acc:ZDB-GENE-030131-7745]</t>
  </si>
  <si>
    <t>fcf1</t>
  </si>
  <si>
    <t>ENSDARG00000102333</t>
  </si>
  <si>
    <t>FCF1 rRNA-processing protein [Source:ZFIN;Acc:ZDB-GENE-050417-67]</t>
  </si>
  <si>
    <t>hmgn2</t>
  </si>
  <si>
    <t>ENSDARG00000099572</t>
  </si>
  <si>
    <t>high mobility group nucleosomal binding domain 2 [Source:ZFIN;Acc:ZDB-GENE-051030-81]</t>
  </si>
  <si>
    <t>zgc:77262</t>
  </si>
  <si>
    <t>ENSDARG00000044545</t>
  </si>
  <si>
    <t>zgc:77262 [Source:ZFIN;Acc:ZDB-GENE-040426-1811]</t>
  </si>
  <si>
    <t>thop1</t>
  </si>
  <si>
    <t>ENSDARG00000013776</t>
  </si>
  <si>
    <t>thimet oligopeptidase 1 [Source:ZFIN;Acc:ZDB-GENE-040718-47]</t>
  </si>
  <si>
    <t>magoh</t>
  </si>
  <si>
    <t>ENSDARG00000038635</t>
  </si>
  <si>
    <t>mago homolog, exon junction complex core component [Source:ZFIN;Acc:ZDB-GENE-041216-1]</t>
  </si>
  <si>
    <t>cops7a</t>
  </si>
  <si>
    <t>ENSDARG00000022788</t>
  </si>
  <si>
    <t>COP9 constitutive photomorphogenic homolog subunit 7A [Source:ZFIN;Acc:ZDB-GENE-030131-8680]</t>
  </si>
  <si>
    <t>mrps33</t>
  </si>
  <si>
    <t>ENSDARG00000020015</t>
  </si>
  <si>
    <t>mitochondrial ribosomal protein S33 [Source:ZFIN;Acc:ZDB-GENE-040715-6]</t>
  </si>
  <si>
    <t>CAAP1</t>
  </si>
  <si>
    <t>ENSDARG00000079652</t>
  </si>
  <si>
    <t>caspase activity and apoptosis inhibitor 1 [Source:HGNC Symbol;Acc:HGNC:25834]</t>
  </si>
  <si>
    <t>ndufs3</t>
  </si>
  <si>
    <t>ENSDARG00000015385</t>
  </si>
  <si>
    <t>NADH dehydrogenase (ubiquinone) Fe-S protein 3, (NADH-coenzyme Q reductase) [Source:ZFIN;Acc:ZDB-GENE-050417-274]</t>
  </si>
  <si>
    <t>pitpnb</t>
  </si>
  <si>
    <t>ENSDARG00000036005</t>
  </si>
  <si>
    <t>phosphatidylinositol transfer protein, beta [Source:ZFIN;Acc:ZDB-GENE-040426-895]</t>
  </si>
  <si>
    <t>zmpste24</t>
  </si>
  <si>
    <t>ENSDARG00000044090</t>
  </si>
  <si>
    <t>zinc metallopeptidase, STE24 homolog [Source:ZFIN;Acc:ZDB-GENE-030131-6312]</t>
  </si>
  <si>
    <t>coa6</t>
  </si>
  <si>
    <t>ENSDARG00000092677</t>
  </si>
  <si>
    <t>cytochrome c oxidase assembly factor 6 [Source:ZFIN;Acc:ZDB-GENE-070705-152]</t>
  </si>
  <si>
    <t>nucks1a</t>
  </si>
  <si>
    <t>ENSDARG00000078473</t>
  </si>
  <si>
    <t>nuclear casein kinase and cyclin-dependent kinase substrate 1a [Source:ZFIN;Acc:ZDB-GENE-040912-175]</t>
  </si>
  <si>
    <t>seh1l</t>
  </si>
  <si>
    <t>ENSDARG00000004280</t>
  </si>
  <si>
    <t>SEH1-like (S. cerevisiae) [Source:ZFIN;Acc:ZDB-GENE-030131-6689]</t>
  </si>
  <si>
    <t>tomm40</t>
  </si>
  <si>
    <t>ENSDARG00000092112</t>
  </si>
  <si>
    <t>translocase of outer mitochondrial membrane 40 homolog (yeast) [Source:ZFIN;Acc:ZDB-GENE-030131-1365]</t>
  </si>
  <si>
    <t>si:ch211-114l13.11</t>
  </si>
  <si>
    <t>ENSDARG00000092358</t>
  </si>
  <si>
    <t>si:ch211-114l13.11 [Source:ZFIN;Acc:ZDB-GENE-070424-111]</t>
  </si>
  <si>
    <t>MRPL55</t>
  </si>
  <si>
    <t>ENSDARG00000043402</t>
  </si>
  <si>
    <t>zgc:171480 [Source:ZFIN;Acc:ZDB-GENE-080204-83]</t>
  </si>
  <si>
    <t>ccdc191</t>
  </si>
  <si>
    <t>ENSDARG00000027851</t>
  </si>
  <si>
    <t>coiled-coil domain containing 191 [Source:ZFIN;Acc:ZDB-GENE-050102-4]</t>
  </si>
  <si>
    <t>eif4e1c</t>
  </si>
  <si>
    <t>ENSDARG00000012274</t>
  </si>
  <si>
    <t>eukaryotic translation initiation factor 4E family member 1c [Source:ZFIN;Acc:ZDB-GENE-050417-398]</t>
  </si>
  <si>
    <t>ddx39ab</t>
  </si>
  <si>
    <t>ENSDARG00000015111</t>
  </si>
  <si>
    <t>DEAD (Asp-Glu-Ala-Asp) box polypeptide 39Ab [Source:ZFIN;Acc:ZDB-GENE-040426-2902]</t>
  </si>
  <si>
    <t>rbx1</t>
  </si>
  <si>
    <t>ENSDARG00000038030</t>
  </si>
  <si>
    <t>ring-box 1, E3 ubiquitin protein ligase [Source:ZFIN;Acc:ZDB-GENE-041008-106]</t>
  </si>
  <si>
    <t>uqcrh</t>
  </si>
  <si>
    <t>ENSDARG00000059128</t>
  </si>
  <si>
    <t>ubiquinol-cytochrome c reductase hinge protein [Source:ZFIN;Acc:ZDB-GENE-051030-93]</t>
  </si>
  <si>
    <t>trit1</t>
  </si>
  <si>
    <t>ENSDARG00000032876</t>
  </si>
  <si>
    <t>tRNA isopentenyltransferase 1 [Source:ZFIN;Acc:ZDB-GENE-060503-297]</t>
  </si>
  <si>
    <t>gse1</t>
  </si>
  <si>
    <t>ENSDARG00000062020</t>
  </si>
  <si>
    <t>Gse1 coiled-coil protein [Source:ZFIN;Acc:ZDB-GENE-030131-9569]</t>
  </si>
  <si>
    <t>bud31</t>
  </si>
  <si>
    <t>ENSDARG00000017084</t>
  </si>
  <si>
    <t>BUD31 homolog (S. cerevisiae) [Source:ZFIN;Acc:ZDB-GENE-040720-3]</t>
  </si>
  <si>
    <t>LSM3</t>
  </si>
  <si>
    <t>ENSDARG00000089663</t>
  </si>
  <si>
    <t>LSM3 homolog, U6 small nuclear RNA and mRNA degradation associated [Source:HGNC Symbol;Acc:HGNC:17874]</t>
  </si>
  <si>
    <t>tada3l</t>
  </si>
  <si>
    <t>ENSDARG00000058220</t>
  </si>
  <si>
    <t>transcriptional adaptor 3 (NGG1 homolog, yeast)-like [Source:ZFIN;Acc:ZDB-GENE-030131-6725]</t>
  </si>
  <si>
    <t>ENSDARG00000068436</t>
  </si>
  <si>
    <t>tmem17</t>
  </si>
  <si>
    <t>ENSDARG00000074518</t>
  </si>
  <si>
    <t>transmembrane protein 17 [Source:ZFIN;Acc:ZDB-GENE-070615-15]</t>
  </si>
  <si>
    <t>psmb3</t>
  </si>
  <si>
    <t>ENSDARG00000013938</t>
  </si>
  <si>
    <t>proteasome subunit beta 3 [Source:ZFIN;Acc:ZDB-GENE-040426-2682]</t>
  </si>
  <si>
    <t>h3f3b.1.1</t>
  </si>
  <si>
    <t>ENSDARG00000068434</t>
  </si>
  <si>
    <t>rfc5</t>
  </si>
  <si>
    <t>ENSDARG00000035634</t>
  </si>
  <si>
    <t>replication factor C (activator 1) 5 [Source:ZFIN;Acc:ZDB-GENE-040907-1]</t>
  </si>
  <si>
    <t>mtmr8</t>
  </si>
  <si>
    <t>ENSDARG00000008592</t>
  </si>
  <si>
    <t>myotubularin related protein 8 [Source:ZFIN;Acc:ZDB-GENE-040426-1016]</t>
  </si>
  <si>
    <t>psmc2</t>
  </si>
  <si>
    <t>ENSDARG00000020101</t>
  </si>
  <si>
    <t>proteasome 26S subunit, ATPase 2 [Source:ZFIN;Acc:ZDB-GENE-040426-1327]</t>
  </si>
  <si>
    <t>psmd2</t>
  </si>
  <si>
    <t>ENSDARG00000099653</t>
  </si>
  <si>
    <t>proteasome 26S subunit, non-ATPase 2 [Source:ZFIN;Acc:ZDB-GENE-040426-1480]</t>
  </si>
  <si>
    <t>sumo3a</t>
  </si>
  <si>
    <t>ENSDARG00000028119</t>
  </si>
  <si>
    <t>small ubiquitin-like modifier 3a [Source:ZFIN;Acc:ZDB-GENE-040426-2133]</t>
  </si>
  <si>
    <t>jun</t>
  </si>
  <si>
    <t>ENSDARG00000043531</t>
  </si>
  <si>
    <t>jun proto-oncogene [Source:ZFIN;Acc:ZDB-GENE-030131-7859]</t>
  </si>
  <si>
    <t>tp53inp2</t>
  </si>
  <si>
    <t>ENSDARG00000088178</t>
  </si>
  <si>
    <t>tumor protein p53 inducible nuclear protein 2 [Source:ZFIN;Acc:ZDB-GENE-120420-1]</t>
  </si>
  <si>
    <t>lsm8</t>
  </si>
  <si>
    <t>ENSDARG00000091656</t>
  </si>
  <si>
    <t>LSM8 homolog, U6 small nuclear RNA associated [Source:ZFIN;Acc:ZDB-GENE-070629-3]</t>
  </si>
  <si>
    <t>zgc:56576</t>
  </si>
  <si>
    <t>ENSDARG00000009253</t>
  </si>
  <si>
    <t>zgc:56576 [Source:ZFIN;Acc:ZDB-GENE-040426-1082]</t>
  </si>
  <si>
    <t>tmem55ba</t>
  </si>
  <si>
    <t>ENSDARG00000038615</t>
  </si>
  <si>
    <t>transmembrane protein 55Ba [Source:ZFIN;Acc:ZDB-GENE-051113-312]</t>
  </si>
  <si>
    <t>phc2b</t>
  </si>
  <si>
    <t>ENSDARG00000013224</t>
  </si>
  <si>
    <t>polyhomeotic homolog 2b (Drosophila) [Source:ZFIN;Acc:ZDB-GENE-040426-1113]</t>
  </si>
  <si>
    <t>dachb</t>
  </si>
  <si>
    <t>ENSDARG00000034785</t>
  </si>
  <si>
    <t>dachshund b [Source:ZFIN;Acc:ZDB-GENE-020402-4]</t>
  </si>
  <si>
    <t>cryl1</t>
  </si>
  <si>
    <t>ENSDARG00000003675</t>
  </si>
  <si>
    <t>crystallin, lambda 1 [Source:ZFIN;Acc:ZDB-GENE-060810-7]</t>
  </si>
  <si>
    <t>hsp90ab1</t>
  </si>
  <si>
    <t>ENSDARG00000029150</t>
  </si>
  <si>
    <t>heat shock protein 90, alpha (cytosolic), class B member 1 [Source:ZFIN;Acc:ZDB-GENE-990415-95]</t>
  </si>
  <si>
    <t>triap1</t>
  </si>
  <si>
    <t>ENSDARG00000014963</t>
  </si>
  <si>
    <t>TP53 regulated inhibitor of apoptosis 1 [Source:ZFIN;Acc:ZDB-GENE-050417-161]</t>
  </si>
  <si>
    <t>trappc11</t>
  </si>
  <si>
    <t>ENSDARG00000004726</t>
  </si>
  <si>
    <t>trafficking protein particle complex 11 [Source:ZFIN;Acc:ZDB-GENE-030131-1723]</t>
  </si>
  <si>
    <t>rnmt</t>
  </si>
  <si>
    <t>ENSDARG00000070553</t>
  </si>
  <si>
    <t>RNA (guanine-7-) methyltransferase [Source:ZFIN;Acc:ZDB-GENE-041008-25]</t>
  </si>
  <si>
    <t>nedd8l</t>
  </si>
  <si>
    <t>ENSDARG00000103472</t>
  </si>
  <si>
    <t>neural precursor cell expressed, developmentally down-regulated 8, like [Source:ZFIN;Acc:ZDB-GENE-040718-295]</t>
  </si>
  <si>
    <t>snrnp25</t>
  </si>
  <si>
    <t>ENSDARG00000020363</t>
  </si>
  <si>
    <t>small nuclear ribonucleoprotein 25 [Source:ZFIN;Acc:ZDB-GENE-050417-179]</t>
  </si>
  <si>
    <t>cetn3</t>
  </si>
  <si>
    <t>ENSDARG00000011825</t>
  </si>
  <si>
    <t>centrin 3 [Source:ZFIN;Acc:ZDB-GENE-050522-152]</t>
  </si>
  <si>
    <t>cirbpb</t>
  </si>
  <si>
    <t>ENSDARG00000013351</t>
  </si>
  <si>
    <t>cold inducible RNA binding protein b [Source:ZFIN;Acc:ZDB-GENE-030131-5841]</t>
  </si>
  <si>
    <t>mcts1</t>
  </si>
  <si>
    <t>ENSDARG00000025972</t>
  </si>
  <si>
    <t>malignant T cell amplified sequence 1 [Source:ZFIN;Acc:ZDB-GENE-040426-957]</t>
  </si>
  <si>
    <t>aifm1</t>
  </si>
  <si>
    <t>ENSDARG00000058088</t>
  </si>
  <si>
    <t>apoptosis-inducing factor, mitochondrion-associated 1 [Source:ZFIN;Acc:ZDB-GENE-030826-11]</t>
  </si>
  <si>
    <t>lsm7</t>
  </si>
  <si>
    <t>ENSDARG00000058328</t>
  </si>
  <si>
    <t>LSM7 homolog, U6 small nuclear RNA and mRNA degradation associated [Source:ZFIN;Acc:ZDB-GENE-030131-8284]</t>
  </si>
  <si>
    <t>atp1a1a.1</t>
  </si>
  <si>
    <t>ENSDARG00000002791</t>
  </si>
  <si>
    <t>ATPase, Na+/K+ transporting, alpha 1a polypeptide, tandem duplicate 1 [Source:ZFIN;Acc:ZDB-GENE-001212-1]</t>
  </si>
  <si>
    <t>commd8</t>
  </si>
  <si>
    <t>ENSDARG00000028201</t>
  </si>
  <si>
    <t>COMM domain containing 8 [Source:ZFIN;Acc:ZDB-GENE-061103-124]</t>
  </si>
  <si>
    <t>pcdh18b</t>
  </si>
  <si>
    <t>ENSDARG00000052494</t>
  </si>
  <si>
    <t>protocadherin 18b [Source:ZFIN;Acc:ZDB-GENE-080804-1]</t>
  </si>
  <si>
    <t>zgc:110540</t>
  </si>
  <si>
    <t>ENSDARG00000054929</t>
  </si>
  <si>
    <t>zgc:110540 [Source:ZFIN;Acc:ZDB-GENE-050327-77]</t>
  </si>
  <si>
    <t>cks1b</t>
  </si>
  <si>
    <t>ENSDARG00000007971</t>
  </si>
  <si>
    <t>CDC28 protein kinase regulatory subunit 1B [Source:ZFIN;Acc:ZDB-GENE-040801-112]</t>
  </si>
  <si>
    <t>ccna2</t>
  </si>
  <si>
    <t>ENSDARG00000011094</t>
  </si>
  <si>
    <t>cyclin A2 [Source:ZFIN;Acc:ZDB-GENE-020418-1]</t>
  </si>
  <si>
    <t>top2a</t>
  </si>
  <si>
    <t>ENSDARG00000024488</t>
  </si>
  <si>
    <t>topoisomerase (DNA) II alpha [Source:ZFIN;Acc:ZDB-GENE-030131-2453]</t>
  </si>
  <si>
    <t>kiaa0101</t>
  </si>
  <si>
    <t>ENSDARG00000097691</t>
  </si>
  <si>
    <t>KIAA0101 [Source:ZFIN;Acc:ZDB-GENE-131127-543]</t>
  </si>
  <si>
    <t>asf1ba</t>
  </si>
  <si>
    <t>ENSDARG00000101037</t>
  </si>
  <si>
    <t>anti-silencing function 1Ba histone chaperone [Source:ZFIN;Acc:ZDB-GENE-031118-197]</t>
  </si>
  <si>
    <t>slc29a2</t>
  </si>
  <si>
    <t>ENSDARG00000001767</t>
  </si>
  <si>
    <t>solute carrier family 29 (equilibrative nucleoside transporter), member 2 [Source:ZFIN;Acc:ZDB-GENE-050220-15]</t>
  </si>
  <si>
    <t>rrm2</t>
  </si>
  <si>
    <t>ENSDARG00000078069</t>
  </si>
  <si>
    <t>ribonucleotide reductase M2 polypeptide [Source:ZFIN;Acc:ZDB-GENE-990415-25]</t>
  </si>
  <si>
    <t>mki67</t>
  </si>
  <si>
    <t>ENSDARG00000091150</t>
  </si>
  <si>
    <t>marker of proliferation Ki-67 [Source:ZFIN;Acc:ZDB-GENE-030131-9771]</t>
  </si>
  <si>
    <t>pcna</t>
  </si>
  <si>
    <t>ENSDARG00000054155</t>
  </si>
  <si>
    <t>proliferating cell nuclear antigen [Source:ZFIN;Acc:ZDB-GENE-000210-8]</t>
  </si>
  <si>
    <t>mad2l1</t>
  </si>
  <si>
    <t>ENSDARG00000004713</t>
  </si>
  <si>
    <t>MAD2 mitotic arrest deficient-like 1 (yeast) [Source:ZFIN;Acc:ZDB-GENE-030515-3]</t>
  </si>
  <si>
    <t>aurkb</t>
  </si>
  <si>
    <t>ENSDARG00000037640</t>
  </si>
  <si>
    <t>aurora kinase B [Source:ZFIN;Acc:ZDB-GENE-020419-40]</t>
  </si>
  <si>
    <t>cdk1</t>
  </si>
  <si>
    <t>ENSDARG00000087554</t>
  </si>
  <si>
    <t>cyclin-dependent kinase 1 [Source:ZFIN;Acc:ZDB-GENE-010320-1]</t>
  </si>
  <si>
    <t>stmn1a</t>
  </si>
  <si>
    <t>ENSDARG00000004169</t>
  </si>
  <si>
    <t>stathmin 1a [Source:ZFIN;Acc:ZDB-GENE-031006-14]</t>
  </si>
  <si>
    <t>ncapd2</t>
  </si>
  <si>
    <t>ENSDARG00000005058</t>
  </si>
  <si>
    <t>non-SMC condensin I complex, subunit D2 [Source:ZFIN;Acc:ZDB-GENE-050506-59]</t>
  </si>
  <si>
    <t>mibp</t>
  </si>
  <si>
    <t>ENSDARG00000101362</t>
  </si>
  <si>
    <t>muscle-specific beta 1 integrin binding protein [Source:ZFIN;Acc:ZDB-GENE-030404-1]</t>
  </si>
  <si>
    <t>cdca5</t>
  </si>
  <si>
    <t>ENSDARG00000044437</t>
  </si>
  <si>
    <t>cell division cycle associated 5 [Source:ZFIN;Acc:ZDB-GENE-030131-235]</t>
  </si>
  <si>
    <t>mis12</t>
  </si>
  <si>
    <t>ENSDARG00000026454</t>
  </si>
  <si>
    <t>MIS12 kinetochore complex component [Source:ZFIN;Acc:ZDB-GENE-040426-1372]</t>
  </si>
  <si>
    <t>chaf1a</t>
  </si>
  <si>
    <t>ENSDARG00000062152</t>
  </si>
  <si>
    <t>chromatin assembly factor 1, subunit A (p150) [Source:ZFIN;Acc:ZDB-GENE-030131-5366]</t>
  </si>
  <si>
    <t>DUT</t>
  </si>
  <si>
    <t>ENSDARG00000102748</t>
  </si>
  <si>
    <t>deoxyuridine triphosphatase [Source:HGNC Symbol;Acc:HGNC:3078]</t>
  </si>
  <si>
    <t>si:ch211-156b7.4</t>
  </si>
  <si>
    <t>ENSDARG00000101707</t>
  </si>
  <si>
    <t>si:ch211-156b7.4 [Source:ZFIN;Acc:ZDB-GENE-141212-376]</t>
  </si>
  <si>
    <t>PMF1</t>
  </si>
  <si>
    <t>ENSDARG00000077822</t>
  </si>
  <si>
    <t>si:dkey-6i22.5 [Source:ZFIN;Acc:ZDB-GENE-050506-32]</t>
  </si>
  <si>
    <t>rrm1</t>
  </si>
  <si>
    <t>ENSDARG00000014017</t>
  </si>
  <si>
    <t>ribonucleotide reductase M1 polypeptide [Source:ZFIN;Acc:ZDB-GENE-990415-247]</t>
  </si>
  <si>
    <t>h2afx</t>
  </si>
  <si>
    <t>ENSDARG00000029406</t>
  </si>
  <si>
    <t>H2A histone family, member X [Source:ZFIN;Acc:ZDB-GENE-040426-987]</t>
  </si>
  <si>
    <t>smc2</t>
  </si>
  <si>
    <t>ENSDARG00000017744</t>
  </si>
  <si>
    <t>structural maintenance of chromosomes 2 [Source:ZFIN;Acc:ZDB-GENE-030131-105]</t>
  </si>
  <si>
    <t>krcp</t>
  </si>
  <si>
    <t>ENSDARG00000040224</t>
  </si>
  <si>
    <t>kelch repeat-containing protein [Source:ZFIN;Acc:ZDB-GENE-030131-2126]</t>
  </si>
  <si>
    <t>rrm2.1</t>
  </si>
  <si>
    <t>ENSDARG00000020711</t>
  </si>
  <si>
    <t>INCENP</t>
  </si>
  <si>
    <t>ENSDARG00000099194</t>
  </si>
  <si>
    <t>inner centromere protein [Source:HGNC Symbol;Acc:HGNC:6058]</t>
  </si>
  <si>
    <t>kifc1</t>
  </si>
  <si>
    <t>ENSDARG00000001558</t>
  </si>
  <si>
    <t>kinesin family member C1 [Source:ZFIN;Acc:ZDB-GENE-000208-21]</t>
  </si>
  <si>
    <t>tpx2</t>
  </si>
  <si>
    <t>ENSDARG00000078654</t>
  </si>
  <si>
    <t>TPX2, microtubule-associated, homolog (Xenopus laevis) [Source:ZFIN;Acc:ZDB-GENE-030131-9652]</t>
  </si>
  <si>
    <t>ncaph</t>
  </si>
  <si>
    <t>ENSDARG00000061468</t>
  </si>
  <si>
    <t>non-SMC condensin I complex, subunit H [Source:ZFIN;Acc:ZDB-GENE-070112-652]</t>
  </si>
  <si>
    <t>tyms</t>
  </si>
  <si>
    <t>ENSDARG00000042894</t>
  </si>
  <si>
    <t>thymidylate synthetase [Source:ZFIN;Acc:ZDB-GENE-040426-59]</t>
  </si>
  <si>
    <t>prim1</t>
  </si>
  <si>
    <t>ENSDARG00000040163</t>
  </si>
  <si>
    <t>primase, DNA, polypeptide 1 [Source:ZFIN;Acc:ZDB-GENE-990603-6]</t>
  </si>
  <si>
    <t>dck</t>
  </si>
  <si>
    <t>ENSDARG00000044807</t>
  </si>
  <si>
    <t>deoxycytidine kinase [Source:ZFIN;Acc:ZDB-GENE-041024-3]</t>
  </si>
  <si>
    <t>kif11</t>
  </si>
  <si>
    <t>ENSDARG00000010948</t>
  </si>
  <si>
    <t>kinesin family member 11 [Source:ZFIN;Acc:ZDB-GENE-020426-1]</t>
  </si>
  <si>
    <t>ska1</t>
  </si>
  <si>
    <t>ENSDARG00000039354</t>
  </si>
  <si>
    <t>spindle and kinetochore associated complex subunit 1 [Source:ZFIN;Acc:ZDB-GENE-040718-334]</t>
  </si>
  <si>
    <t>si:dkey-108k21.23</t>
  </si>
  <si>
    <t>ENSDARG00000089737</t>
  </si>
  <si>
    <t>si:dkey-108k21.23 [Source:ZFIN;Acc:ZDB-GENE-131121-114]</t>
  </si>
  <si>
    <t>knstrn</t>
  </si>
  <si>
    <t>ENSDARG00000074379</t>
  </si>
  <si>
    <t>kinetochore-localized astrin/SPAG5 binding protein [Source:ZFIN;Acc:ZDB-GENE-081022-187]</t>
  </si>
  <si>
    <t>fen1</t>
  </si>
  <si>
    <t>ENSDARG00000011404</t>
  </si>
  <si>
    <t>flap structure-specific endonuclease 1 [Source:ZFIN;Acc:ZDB-GENE-031112-11]</t>
  </si>
  <si>
    <t>ube2c</t>
  </si>
  <si>
    <t>ENSDARG00000101618</t>
  </si>
  <si>
    <t>ubiquitin-conjugating enzyme E2C [Source:ZFIN;Acc:ZDB-GENE-051030-48]</t>
  </si>
  <si>
    <t>nasp</t>
  </si>
  <si>
    <t>ENSDARG00000039208</t>
  </si>
  <si>
    <t>nuclear autoantigenic sperm protein (histone-binding) [Source:ZFIN;Acc:ZDB-GENE-030131-5511]</t>
  </si>
  <si>
    <t>dhfr</t>
  </si>
  <si>
    <t>ENSDARG00000004251</t>
  </si>
  <si>
    <t>dihydrofolate reductase [Source:ZFIN;Acc:ZDB-GENE-010406-5]</t>
  </si>
  <si>
    <t>pbk</t>
  </si>
  <si>
    <t>ENSDARG00000007221</t>
  </si>
  <si>
    <t>PDZ binding kinase [Source:ZFIN;Acc:ZDB-GENE-030523-2]</t>
  </si>
  <si>
    <t>pold1</t>
  </si>
  <si>
    <t>ENSDARG00000027689</t>
  </si>
  <si>
    <t>polymerase (DNA directed), delta 1, catalytic subunit [Source:ZFIN;Acc:ZDB-GENE-060429-1]</t>
  </si>
  <si>
    <t>dlgap5</t>
  </si>
  <si>
    <t>ENSDARG00000045167</t>
  </si>
  <si>
    <t>discs, large (Drosophila) homolog-associated protein 5 [Source:ZFIN;Acc:ZDB-GENE-040912-160]</t>
  </si>
  <si>
    <t>zgc:86764</t>
  </si>
  <si>
    <t>ENSDARG00000005098</t>
  </si>
  <si>
    <t>zgc:86764 [Source:ZFIN;Acc:ZDB-GENE-040718-435]</t>
  </si>
  <si>
    <t>spc25</t>
  </si>
  <si>
    <t>ENSDARG00000078433</t>
  </si>
  <si>
    <t>SPC25, NDC80 kinetochore complex component, homolog (S. cerevisiae) [Source:ZFIN;Acc:ZDB-GENE-060810-13]</t>
  </si>
  <si>
    <t>rpa2</t>
  </si>
  <si>
    <t>ENSDARG00000037188</t>
  </si>
  <si>
    <t>replication protein A2 [Source:ZFIN;Acc:ZDB-GENE-010131-3]</t>
  </si>
  <si>
    <t>rad51</t>
  </si>
  <si>
    <t>ENSDARG00000041411</t>
  </si>
  <si>
    <t>RAD51 recombinase [Source:ZFIN;Acc:ZDB-GENE-040426-2286]</t>
  </si>
  <si>
    <t>dnph1</t>
  </si>
  <si>
    <t>ENSDARG00000075730</t>
  </si>
  <si>
    <t>2'-deoxynucleoside 5'-phosphate N-hydrolase 1 [Source:ZFIN;Acc:ZDB-GENE-081107-5]</t>
  </si>
  <si>
    <t>ndc80</t>
  </si>
  <si>
    <t>ENSDARG00000071694</t>
  </si>
  <si>
    <t>NDC80 kinetochore complex component [Source:ZFIN;Acc:ZDB-GENE-030131-904]</t>
  </si>
  <si>
    <t>ncapg</t>
  </si>
  <si>
    <t>ENSDARG00000070109</t>
  </si>
  <si>
    <t>non-SMC condensin I complex, subunit G [Source:ZFIN;Acc:ZDB-GENE-041111-282]</t>
  </si>
  <si>
    <t>nusap1</t>
  </si>
  <si>
    <t>ENSDARG00000002403</t>
  </si>
  <si>
    <t>nucleolar and spindle associated protein 1 [Source:ZFIN;Acc:ZDB-GENE-030827-5]</t>
  </si>
  <si>
    <t>atad2</t>
  </si>
  <si>
    <t>ENSDARG00000076590</t>
  </si>
  <si>
    <t>ATPase family, AAA domain containing 2 [Source:ZFIN;Acc:ZDB-GENE-030131-7003]</t>
  </si>
  <si>
    <t>haus4</t>
  </si>
  <si>
    <t>ENSDARG00000016594</t>
  </si>
  <si>
    <t>HAUS augmin-like complex, subunit 4 [Source:ZFIN;Acc:ZDB-GENE-040718-122]</t>
  </si>
  <si>
    <t>gins2</t>
  </si>
  <si>
    <t>ENSDARG00000002304</t>
  </si>
  <si>
    <t>GINS complex subunit 2 [Source:ZFIN;Acc:ZDB-GENE-050419-19]</t>
  </si>
  <si>
    <t>kif23</t>
  </si>
  <si>
    <t>ENSDARG00000014943</t>
  </si>
  <si>
    <t>kinesin family member 23 [Source:ZFIN;Acc:ZDB-GENE-991019-4]</t>
  </si>
  <si>
    <t>cks2</t>
  </si>
  <si>
    <t>ENSDARG00000071410</t>
  </si>
  <si>
    <t>CDC28 protein kinase regulatory subunit 2 [Source:ZFIN;Acc:ZDB-GENE-050208-508]</t>
  </si>
  <si>
    <t>kpna2</t>
  </si>
  <si>
    <t>ENSDARG00000038066</t>
  </si>
  <si>
    <t>karyopherin alpha 2 (RAG cohort 1, importin alpha 1) [Source:ZFIN;Acc:ZDB-GENE-040718-22]</t>
  </si>
  <si>
    <t>spc24</t>
  </si>
  <si>
    <t>ENSDARG00000093622</t>
  </si>
  <si>
    <t>SPC24, NDC80 kinetochore complex component, homolog (S. cerevisiae) [Source:ZFIN;Acc:ZDB-GENE-050522-456]</t>
  </si>
  <si>
    <t>ube2t</t>
  </si>
  <si>
    <t>ENSDARG00000063285</t>
  </si>
  <si>
    <t>ubiquitin-conjugating enzyme E2T (putative) [Source:ZFIN;Acc:ZDB-GENE-061013-547]</t>
  </si>
  <si>
    <t>ckap2l</t>
  </si>
  <si>
    <t>ENSDARG00000100573</t>
  </si>
  <si>
    <t>cytoskeleton associated protein 2-like [Source:ZFIN;Acc:ZDB-GENE-030131-6690]</t>
  </si>
  <si>
    <t>dctd</t>
  </si>
  <si>
    <t>ENSDARG00000036990</t>
  </si>
  <si>
    <t>dCMP deaminase [Source:ZFIN;Acc:ZDB-GENE-050417-116]</t>
  </si>
  <si>
    <t>racgap1</t>
  </si>
  <si>
    <t>ENSDARG00000015460</t>
  </si>
  <si>
    <t>Rac GTPase activating protein 1 [Source:ZFIN;Acc:ZDB-GENE-030131-1917]</t>
  </si>
  <si>
    <t>haus1</t>
  </si>
  <si>
    <t>ENSDARG00000058968</t>
  </si>
  <si>
    <t>HAUS augmin-like complex, subunit 1 [Source:ZFIN;Acc:ZDB-GENE-091204-387]</t>
  </si>
  <si>
    <t>si:ch1073-159d7.2</t>
  </si>
  <si>
    <t>ENSDARG00000105409</t>
  </si>
  <si>
    <t>si:ch1073-159d7.2 [Source:ZFIN;Acc:ZDB-GENE-160113-89]</t>
  </si>
  <si>
    <t>tubb2b</t>
  </si>
  <si>
    <t>ENSDARG00000098591</t>
  </si>
  <si>
    <t>tubulin, beta 2b [Source:ZFIN;Acc:ZDB-GENE-030131-722]</t>
  </si>
  <si>
    <t>prim2</t>
  </si>
  <si>
    <t>ENSDARG00000052721</t>
  </si>
  <si>
    <t>primase, DNA, polypeptide 2 [Source:ZFIN;Acc:ZDB-GENE-050522-471]</t>
  </si>
  <si>
    <t>esco2</t>
  </si>
  <si>
    <t>ENSDARG00000014685</t>
  </si>
  <si>
    <t>establishment of sister chromatid cohesion N-acetyltransferase 2 [Source:ZFIN;Acc:ZDB-GENE-050913-156]</t>
  </si>
  <si>
    <t>hmgb2b</t>
  </si>
  <si>
    <t>ENSDARG00000053990</t>
  </si>
  <si>
    <t>high mobility group box 2b [Source:ZFIN;Acc:ZDB-GENE-040912-122]</t>
  </si>
  <si>
    <t>slbp</t>
  </si>
  <si>
    <t>ENSDARG00000100558</t>
  </si>
  <si>
    <t>stem-loop binding protein [Source:ZFIN;Acc:ZDB-GENE-030131-9686]</t>
  </si>
  <si>
    <t>oip5</t>
  </si>
  <si>
    <t>ENSDARG00000093597</t>
  </si>
  <si>
    <t>opa interacting protein 5 [Source:ZFIN;Acc:ZDB-GENE-090313-328]</t>
  </si>
  <si>
    <t>sgol1</t>
  </si>
  <si>
    <t>ENSDARG00000103907</t>
  </si>
  <si>
    <t>shugoshin-like 1 (S. pombe) [Source:ZFIN;Acc:ZDB-GENE-070112-422]</t>
  </si>
  <si>
    <t>dscc1</t>
  </si>
  <si>
    <t>ENSDARG00000019907</t>
  </si>
  <si>
    <t>DNA replication and sister chromatid cohesion 1 [Source:ZFIN;Acc:ZDB-GENE-040912-35]</t>
  </si>
  <si>
    <t>lig1</t>
  </si>
  <si>
    <t>ENSDARG00000060041</t>
  </si>
  <si>
    <t>ligase I, DNA, ATP-dependent [Source:ZFIN;Acc:ZDB-GENE-110404-2]</t>
  </si>
  <si>
    <t>chtf8</t>
  </si>
  <si>
    <t>ENSDARG00000069045</t>
  </si>
  <si>
    <t>CTF8, chromosome transmission fidelity factor 8 homolog (S. cerevisiae) [Source:ZFIN;Acc:ZDB-GENE-050419-148]</t>
  </si>
  <si>
    <t>zgc:110425</t>
  </si>
  <si>
    <t>ENSDARG00000058479</t>
  </si>
  <si>
    <t>zgc:110425 [Source:ZFIN;Acc:ZDB-GENE-050522-103]</t>
  </si>
  <si>
    <t>mus81</t>
  </si>
  <si>
    <t>ENSDARG00000069326</t>
  </si>
  <si>
    <t>MUS81 structure-specific endonuclease subunit [Source:ZFIN;Acc:ZDB-GENE-040426-2923]</t>
  </si>
  <si>
    <t>smc4</t>
  </si>
  <si>
    <t>ENSDARG00000038882</t>
  </si>
  <si>
    <t>structural maintenance of chromosomes 4 [Source:ZFIN;Acc:ZDB-GENE-020419-21]</t>
  </si>
  <si>
    <t>rfc4</t>
  </si>
  <si>
    <t>ENSDARG00000042458</t>
  </si>
  <si>
    <t>replication factor C (activator 1) 4 [Source:ZFIN;Acc:ZDB-GENE-040824-3]</t>
  </si>
  <si>
    <t>fbxo5</t>
  </si>
  <si>
    <t>ENSDARG00000039020</t>
  </si>
  <si>
    <t>F-box protein 5 [Source:ZFIN;Acc:ZDB-GENE-030131-4027]</t>
  </si>
  <si>
    <t>pttg1</t>
  </si>
  <si>
    <t>ENSDARG00000075421</t>
  </si>
  <si>
    <t>pituitary tumor-transforming 1 [Source:ZFIN;Acc:ZDB-GENE-081104-345]</t>
  </si>
  <si>
    <t>si:ch211-69g19.2</t>
  </si>
  <si>
    <t>ENSDARG00000070656</t>
  </si>
  <si>
    <t>si:ch211-69g19.2 [Source:ZFIN;Acc:ZDB-GENE-030804-13]</t>
  </si>
  <si>
    <t>shmt1</t>
  </si>
  <si>
    <t>ENSDARG00000052816</t>
  </si>
  <si>
    <t>serine hydroxymethyltransferase 1 (soluble) [Source:ZFIN;Acc:ZDB-GENE-040426-1558]</t>
  </si>
  <si>
    <t>cenpn</t>
  </si>
  <si>
    <t>ENSDARG00000043640</t>
  </si>
  <si>
    <t>centromere protein N [Source:ZFIN;Acc:ZDB-GENE-030616-408]</t>
  </si>
  <si>
    <t>hmgb2a</t>
  </si>
  <si>
    <t>ENSDARG00000029722</t>
  </si>
  <si>
    <t>high mobility group box 2a [Source:ZFIN;Acc:ZDB-GENE-051120-126]</t>
  </si>
  <si>
    <t>cdca8</t>
  </si>
  <si>
    <t>ENSDARG00000043137</t>
  </si>
  <si>
    <t>cell division cycle associated 8 [Source:ZFIN;Acc:ZDB-GENE-041114-171]</t>
  </si>
  <si>
    <t>DSN1</t>
  </si>
  <si>
    <t>ENSDARG00000089922</t>
  </si>
  <si>
    <t>DSN1 homolog, MIS12 kinetochore complex component [Source:HGNC Symbol;Acc:HGNC:16165]</t>
  </si>
  <si>
    <t>ncapg2</t>
  </si>
  <si>
    <t>ENSDARG00000060023</t>
  </si>
  <si>
    <t>non-SMC condensin II complex, subunit G2 [Source:ZFIN;Acc:ZDB-GENE-070410-100]</t>
  </si>
  <si>
    <t>si:ch1073-235i16.2</t>
  </si>
  <si>
    <t>ENSDARG00000097189</t>
  </si>
  <si>
    <t>si:ch1073-235i16.2 [Source:ZFIN;Acc:ZDB-GENE-131125-93]</t>
  </si>
  <si>
    <t>si:ch211-161h7.4</t>
  </si>
  <si>
    <t>ENSDARG00000087238</t>
  </si>
  <si>
    <t>si:ch211-161h7.4 [Source:ZFIN;Acc:ZDB-GENE-091118-108]</t>
  </si>
  <si>
    <t>suv39h1b</t>
  </si>
  <si>
    <t>ENSDARG00000055753</t>
  </si>
  <si>
    <t>suppressor of variegation 3-9 homolog 1b [Source:ZFIN;Acc:ZDB-GENE-030131-5105]</t>
  </si>
  <si>
    <t>cdc6</t>
  </si>
  <si>
    <t>ENSDARG00000009942</t>
  </si>
  <si>
    <t>cell division cycle 6 homolog (S. cerevisiae) [Source:ZFIN;Acc:ZDB-GENE-050506-131]</t>
  </si>
  <si>
    <t>e2f8</t>
  </si>
  <si>
    <t>ENSDARG00000057323</t>
  </si>
  <si>
    <t>E2F transcription factor 8 [Source:ZFIN;Acc:ZDB-GENE-041111-260]</t>
  </si>
  <si>
    <t>trip13</t>
  </si>
  <si>
    <t>ENSDARG00000025043</t>
  </si>
  <si>
    <t>thyroid hormone receptor interactor 13 [Source:ZFIN;Acc:ZDB-GENE-040426-1488]</t>
  </si>
  <si>
    <t>stra13</t>
  </si>
  <si>
    <t>ENSDARG00000089291</t>
  </si>
  <si>
    <t>stimulated by retinoic acid 13 homolog (mouse) [Source:ZFIN;Acc:ZDB-GENE-110411-78]</t>
  </si>
  <si>
    <t>cenpf</t>
  </si>
  <si>
    <t>ENSDARG00000055133</t>
  </si>
  <si>
    <t>centromere protein F [Source:ZFIN;Acc:ZDB-GENE-041111-205]</t>
  </si>
  <si>
    <t>rpa3</t>
  </si>
  <si>
    <t>ENSDARG00000002613</t>
  </si>
  <si>
    <t>replication protein A3 [Source:ZFIN;Acc:ZDB-GENE-040426-977]</t>
  </si>
  <si>
    <t>rbbp4</t>
  </si>
  <si>
    <t>ENSDARG00000029058</t>
  </si>
  <si>
    <t>retinoblastoma binding protein 4 [Source:ZFIN;Acc:ZDB-GENE-030131-445]</t>
  </si>
  <si>
    <t>plk1</t>
  </si>
  <si>
    <t>ENSDARG00000058471</t>
  </si>
  <si>
    <t>polo-like kinase 1 (Drosophila) [Source:ZFIN;Acc:ZDB-GENE-021115-7]</t>
  </si>
  <si>
    <t>SPAG5</t>
  </si>
  <si>
    <t>ENSDARG00000096554</t>
  </si>
  <si>
    <t>si:dkey-25o16.4 [Source:ZFIN;Acc:ZDB-GENE-030131-969]</t>
  </si>
  <si>
    <t>arhgef39</t>
  </si>
  <si>
    <t>ENSDARG00000013476</t>
  </si>
  <si>
    <t>Rho guanine nucleotide exchange factor (GEF) 39 [Source:ZFIN;Acc:ZDB-GENE-041114-28]</t>
  </si>
  <si>
    <t>aurka</t>
  </si>
  <si>
    <t>ENSDARG00000012485</t>
  </si>
  <si>
    <t>aurora kinase A [Source:ZFIN;Acc:ZDB-GENE-040801-161]</t>
  </si>
  <si>
    <t>zgc:194627</t>
  </si>
  <si>
    <t>ENSDARG00000102594</t>
  </si>
  <si>
    <t>zgc:194627 [Source:ZFIN;Acc:ZDB-GENE-081022-132]</t>
  </si>
  <si>
    <t>ncapd3</t>
  </si>
  <si>
    <t>ENSDARG00000034773</t>
  </si>
  <si>
    <t>non-SMC condensin II complex, subunit D3 [Source:ZFIN;Acc:ZDB-GENE-040426-737]</t>
  </si>
  <si>
    <t>ttk</t>
  </si>
  <si>
    <t>ENSDARG00000041361</t>
  </si>
  <si>
    <t>ttk protein kinase [Source:ZFIN;Acc:ZDB-GENE-030123-1]</t>
  </si>
  <si>
    <t>g2e3</t>
  </si>
  <si>
    <t>ENSDARG00000001313</t>
  </si>
  <si>
    <t>G2/M-phase specific E3 ubiquitin protein ligase [Source:ZFIN;Acc:ZDB-GENE-030616-400]</t>
  </si>
  <si>
    <t>zgc:153631</t>
  </si>
  <si>
    <t>ENSDARG00000068993</t>
  </si>
  <si>
    <t>zgc:153631 [Source:ZFIN;Acc:ZDB-GENE-060825-208]</t>
  </si>
  <si>
    <t>cenpe</t>
  </si>
  <si>
    <t>ENSDARG00000063385</t>
  </si>
  <si>
    <t>centromere protein E [Source:ZFIN;Acc:ZDB-GENE-060929-860]</t>
  </si>
  <si>
    <t>casc5</t>
  </si>
  <si>
    <t>ENSDARG00000070239</t>
  </si>
  <si>
    <t>cancer susceptibility candidate 5 [Source:ZFIN;Acc:ZDB-GENE-030131-5437]</t>
  </si>
  <si>
    <t>mcm7</t>
  </si>
  <si>
    <t>ENSDARG00000101180</t>
  </si>
  <si>
    <t>minichromosome maintenance complex component 7 [Source:ZFIN;Acc:ZDB-GENE-020419-27]</t>
  </si>
  <si>
    <t>dek</t>
  </si>
  <si>
    <t>ENSDARG00000070108</t>
  </si>
  <si>
    <t>DEK proto-oncogene [Source:ZFIN;Acc:ZDB-GENE-060512-191]</t>
  </si>
  <si>
    <t>ccnb3</t>
  </si>
  <si>
    <t>ENSDARG00000034855</t>
  </si>
  <si>
    <t>cyclin B3 [Source:ZFIN;Acc:ZDB-GENE-060929-684]</t>
  </si>
  <si>
    <t>orc4</t>
  </si>
  <si>
    <t>ENSDARG00000101161</t>
  </si>
  <si>
    <t>origin recognition complex, subunit 4 [Source:ZFIN;Acc:ZDB-GENE-040426-2224]</t>
  </si>
  <si>
    <t>bub3</t>
  </si>
  <si>
    <t>ENSDARG00000075883</t>
  </si>
  <si>
    <t>BUB3 mitotic checkpoint protein [Source:ZFIN;Acc:ZDB-GENE-041010-210]</t>
  </si>
  <si>
    <t>traip</t>
  </si>
  <si>
    <t>ENSDARG00000011262</t>
  </si>
  <si>
    <t>TRAF-interacting protein [Source:ZFIN;Acc:ZDB-GENE-040801-30]</t>
  </si>
  <si>
    <t>h3f3a</t>
  </si>
  <si>
    <t>ENSDARG00000020504</t>
  </si>
  <si>
    <t>H3 histone, family 3A [Source:ZFIN;Acc:ZDB-GENE-040426-1928]</t>
  </si>
  <si>
    <t>mis18bp1</t>
  </si>
  <si>
    <t>ENSDARG00000042563</t>
  </si>
  <si>
    <t>MIS18 binding protein 1 [Source:ZFIN;Acc:ZDB-GENE-030616-151]</t>
  </si>
  <si>
    <t>nutf2l</t>
  </si>
  <si>
    <t>ENSDARG00000014499</t>
  </si>
  <si>
    <t>nuclear transport factor 2, like [Source:ZFIN;Acc:ZDB-GENE-020416-1]</t>
  </si>
  <si>
    <t>birc5a</t>
  </si>
  <si>
    <t>ENSDARG00000075621</t>
  </si>
  <si>
    <t>baculoviral IAP repeat containing 5a [Source:ZFIN;Acc:ZDB-GENE-030826-1]</t>
  </si>
  <si>
    <t>cenpw</t>
  </si>
  <si>
    <t>ENSDARG00000092136</t>
  </si>
  <si>
    <t>centromere protein W [Source:ZFIN;Acc:ZDB-GENE-100922-200]</t>
  </si>
  <si>
    <t>cdc20</t>
  </si>
  <si>
    <t>ENSDARG00000100741</t>
  </si>
  <si>
    <t>cell division cycle 20 homolog [Source:ZFIN;Acc:ZDB-GENE-040426-2044]</t>
  </si>
  <si>
    <t>dnajc9</t>
  </si>
  <si>
    <t>ENSDARG00000031293</t>
  </si>
  <si>
    <t>DnaJ (Hsp40) homolog, subfamily C, member 9 [Source:ZFIN;Acc:ZDB-GENE-040718-130]</t>
  </si>
  <si>
    <t>cenpk</t>
  </si>
  <si>
    <t>ENSDARG00000039616</t>
  </si>
  <si>
    <t>centromere protein K [Source:ZFIN;Acc:ZDB-GENE-090313-204]</t>
  </si>
  <si>
    <t>cenph</t>
  </si>
  <si>
    <t>ENSDARG00000094892</t>
  </si>
  <si>
    <t>centromere protein H [Source:ZFIN;Acc:ZDB-GENE-081104-340]</t>
  </si>
  <si>
    <t>prc1a</t>
  </si>
  <si>
    <t>ENSDARG00000100918</t>
  </si>
  <si>
    <t>protein regulator of cytokinesis 1a [Source:ZFIN;Acc:ZDB-GENE-020801-3]</t>
  </si>
  <si>
    <t>tacc3</t>
  </si>
  <si>
    <t>ENSDARG00000005454</t>
  </si>
  <si>
    <t>transforming, acidic coiled-coil containing protein 3 [Source:ZFIN;Acc:ZDB-GENE-050522-327]</t>
  </si>
  <si>
    <t>dtymk</t>
  </si>
  <si>
    <t>ENSDARG00000052103</t>
  </si>
  <si>
    <t>deoxythymidylate kinase (thymidylate kinase) [Source:ZFIN;Acc:ZDB-GENE-990603-11]</t>
  </si>
  <si>
    <t>cenpl</t>
  </si>
  <si>
    <t>ENSDARG00000038802</t>
  </si>
  <si>
    <t>centromere protein L [Source:ZFIN;Acc:ZDB-GENE-040930-6]</t>
  </si>
  <si>
    <t>kif4</t>
  </si>
  <si>
    <t>ENSDARG00000005462</t>
  </si>
  <si>
    <t>kinesin family member 4 [Source:ZFIN;Acc:ZDB-GENE-040426-1545]</t>
  </si>
  <si>
    <t>zgc:174160</t>
  </si>
  <si>
    <t>ENSDARG00000058260</t>
  </si>
  <si>
    <t>zgc:174160 [Source:ZFIN;Acc:ZDB-GENE-030131-6252]</t>
  </si>
  <si>
    <t>kif15</t>
  </si>
  <si>
    <t>ENSDARG00000012073</t>
  </si>
  <si>
    <t>kinesin family member 15 [Source:ZFIN;Acc:ZDB-GENE-050622-16]</t>
  </si>
  <si>
    <t>neil3</t>
  </si>
  <si>
    <t>ENSDARG00000020079</t>
  </si>
  <si>
    <t>nei-like DNA glycosylase 3 [Source:ZFIN;Acc:ZDB-GENE-041114-18]</t>
  </si>
  <si>
    <t>cenpp</t>
  </si>
  <si>
    <t>ENSDARG00000044135</t>
  </si>
  <si>
    <t>centromere protein P [Source:ZFIN;Acc:ZDB-GENE-040801-74]</t>
  </si>
  <si>
    <t>zgc:113984</t>
  </si>
  <si>
    <t>ENSDARG00000077587</t>
  </si>
  <si>
    <t>zgc:113984 [Source:ZFIN;Acc:ZDB-GENE-050626-82]</t>
  </si>
  <si>
    <t>gins1</t>
  </si>
  <si>
    <t>ENSDARG00000007624</t>
  </si>
  <si>
    <t>GINS complex subunit 1 (Psf1 homolog) [Source:ZFIN;Acc:ZDB-GENE-041010-184]</t>
  </si>
  <si>
    <t>atad5a</t>
  </si>
  <si>
    <t>ENSDARG00000070568</t>
  </si>
  <si>
    <t>ATPase family, AAA domain containing 5a [Source:ZFIN;Acc:ZDB-GENE-070912-20]</t>
  </si>
  <si>
    <t>kif22</t>
  </si>
  <si>
    <t>ENSDARG00000102624</t>
  </si>
  <si>
    <t>kinesin family member 22 [Source:ZFIN;Acc:ZDB-GENE-080204-34]</t>
  </si>
  <si>
    <t>rfc3</t>
  </si>
  <si>
    <t>ENSDARG00000055969</t>
  </si>
  <si>
    <t>replication factor C (activator 1) 3 [Source:ZFIN;Acc:ZDB-GENE-020809-3]</t>
  </si>
  <si>
    <t>kif20ba</t>
  </si>
  <si>
    <t>ENSDARG00000071009</t>
  </si>
  <si>
    <t>kinesin family member 20Ba [Source:ZFIN;Acc:ZDB-GENE-041111-213]</t>
  </si>
  <si>
    <t>haus3</t>
  </si>
  <si>
    <t>ENSDARG00000061385</t>
  </si>
  <si>
    <t>HAUS augmin-like complex, subunit 3 [Source:ZFIN;Acc:ZDB-GENE-060929-592]</t>
  </si>
  <si>
    <t>nsl1</t>
  </si>
  <si>
    <t>ENSDARG00000024471</t>
  </si>
  <si>
    <t>NSL1, MIS12 kinetochore complex component [Source:ZFIN;Acc:ZDB-GENE-041014-362]</t>
  </si>
  <si>
    <t>si:ch211-113a14.12</t>
  </si>
  <si>
    <t>ENSDARG00000077456</t>
  </si>
  <si>
    <t>si:ch211-113a14.12 [Source:ZFIN;Acc:ZDB-GENE-121214-99]</t>
  </si>
  <si>
    <t>hirip3</t>
  </si>
  <si>
    <t>ENSDARG00000027749</t>
  </si>
  <si>
    <t>HIRA interacting protein 3 [Source:ZFIN;Acc:ZDB-GENE-030131-5753]</t>
  </si>
  <si>
    <t>si:dkey-66i24.9</t>
  </si>
  <si>
    <t>ENSDARG00000096689</t>
  </si>
  <si>
    <t>si:dkey-66i24.9 [Source:ZFIN;Acc:ZDB-GENE-130531-63]</t>
  </si>
  <si>
    <t>apitd1</t>
  </si>
  <si>
    <t>ENSDARG00000070485</t>
  </si>
  <si>
    <t>apoptosis-inducing, TAF9-like domain 1 [Source:ZFIN;Acc:ZDB-GENE-080723-52]</t>
  </si>
  <si>
    <t>nup37</t>
  </si>
  <si>
    <t>ENSDARG00000094191</t>
  </si>
  <si>
    <t>nucleoporin 37 [Source:ZFIN;Acc:ZDB-GENE-040718-363]</t>
  </si>
  <si>
    <t>pole2</t>
  </si>
  <si>
    <t>ENSDARG00000100028</t>
  </si>
  <si>
    <t>polymerase (DNA directed), epsilon 2 [Source:ZFIN;Acc:ZDB-GENE-020419-16]</t>
  </si>
  <si>
    <t>si:ch73-281n10.2</t>
  </si>
  <si>
    <t>ENSDARG00000097102</t>
  </si>
  <si>
    <t>si:ch73-281n10.2 [Source:ZFIN;Acc:ZDB-GENE-131120-172]</t>
  </si>
  <si>
    <t>ccne2</t>
  </si>
  <si>
    <t>ENSDARG00000098529</t>
  </si>
  <si>
    <t>cyclin E2 [Source:ZFIN;Acc:ZDB-GENE-030131-9689]</t>
  </si>
  <si>
    <t>mcm3</t>
  </si>
  <si>
    <t>ENSDARG00000024204</t>
  </si>
  <si>
    <t>minichromosome maintenance complex component 3 [Source:ZFIN;Acc:ZDB-GENE-020419-4]</t>
  </si>
  <si>
    <t>rtkn2a</t>
  </si>
  <si>
    <t>ENSDARG00000053558</t>
  </si>
  <si>
    <t>rhotekin 2a [Source:ZFIN;Acc:ZDB-GENE-041010-225]</t>
  </si>
  <si>
    <t>aspm</t>
  </si>
  <si>
    <t>ENSDARG00000103754</t>
  </si>
  <si>
    <t>abnormal spindle microtubule assembly [Source:ZFIN;Acc:ZDB-GENE-050208-620]</t>
  </si>
  <si>
    <t>ccnb1</t>
  </si>
  <si>
    <t>ENSDARG00000051923</t>
  </si>
  <si>
    <t>cyclin B1 [Source:ZFIN;Acc:ZDB-GENE-000406-10]</t>
  </si>
  <si>
    <t>cdk2</t>
  </si>
  <si>
    <t>ENSDARG00000026577</t>
  </si>
  <si>
    <t>cyclin-dependent kinase 2 [Source:ZFIN;Acc:ZDB-GENE-040426-2741]</t>
  </si>
  <si>
    <t>kif18a</t>
  </si>
  <si>
    <t>ENSDARG00000008022</t>
  </si>
  <si>
    <t>kinesin family member 18A [Source:ZFIN;Acc:ZDB-GENE-040426-862]</t>
  </si>
  <si>
    <t>pola1</t>
  </si>
  <si>
    <t>ENSDARG00000045308</t>
  </si>
  <si>
    <t>polymerase (DNA directed), alpha 1 [Source:ZFIN;Acc:ZDB-GENE-030114-9]</t>
  </si>
  <si>
    <t>rnaseh2c</t>
  </si>
  <si>
    <t>ENSDARG00000089637</t>
  </si>
  <si>
    <t>ribonuclease H2, subunit C [Source:ZFIN;Acc:ZDB-GENE-030131-2469]</t>
  </si>
  <si>
    <t>asf1bb</t>
  </si>
  <si>
    <t>ENSDARG00000043713</t>
  </si>
  <si>
    <t>anti-silencing function 1Bb histone chaperone [Source:ZFIN;Acc:ZDB-GENE-040426-2594]</t>
  </si>
  <si>
    <t>rpa1</t>
  </si>
  <si>
    <t>ENSDARG00000003938</t>
  </si>
  <si>
    <t>replication protein A1 [Source:ZFIN;Acc:ZDB-GENE-030912-3]</t>
  </si>
  <si>
    <t>CKAP2</t>
  </si>
  <si>
    <t>ENSDARG00000086112</t>
  </si>
  <si>
    <t>si:ch211-266i6.3 [Source:ZFIN;Acc:ZDB-GENE-030131-5420]</t>
  </si>
  <si>
    <t>cdca7a</t>
  </si>
  <si>
    <t>ENSDARG00000077620</t>
  </si>
  <si>
    <t>cell division cycle associated 7a [Source:ZFIN;Acc:ZDB-GENE-050417-29]</t>
  </si>
  <si>
    <t>snrpd1</t>
  </si>
  <si>
    <t>ENSDARG00000011648</t>
  </si>
  <si>
    <t>small nuclear ribonucleoprotein D1 polypeptide [Source:ZFIN;Acc:ZDB-GENE-020419-14]</t>
  </si>
  <si>
    <t>dnmt1</t>
  </si>
  <si>
    <t>ENSDARG00000030756</t>
  </si>
  <si>
    <t>DNA (cytosine-5-)-methyltransferase 1 [Source:ZFIN;Acc:ZDB-GENE-990714-15]</t>
  </si>
  <si>
    <t>si:ch1073-228h2.2</t>
  </si>
  <si>
    <t>ENSDARG00000099981</t>
  </si>
  <si>
    <t>si:ch1073-228h2.2 [Source:ZFIN;Acc:ZDB-GENE-141216-371]</t>
  </si>
  <si>
    <t>pane1</t>
  </si>
  <si>
    <t>ENSDARG00000024681</t>
  </si>
  <si>
    <t>proliferation associated nuclear element [Source:ZFIN;Acc:ZDB-GENE-040611-4]</t>
  </si>
  <si>
    <t>dctpp1</t>
  </si>
  <si>
    <t>ENSDARG00000054334</t>
  </si>
  <si>
    <t>dCTP pyrophosphatase 1 [Source:ZFIN;Acc:ZDB-GENE-040426-1741]</t>
  </si>
  <si>
    <t>msh2</t>
  </si>
  <si>
    <t>ENSDARG00000018022</t>
  </si>
  <si>
    <t>mutS homolog 2 (E. coli) [Source:ZFIN;Acc:ZDB-GENE-040426-2932]</t>
  </si>
  <si>
    <t>fam60al.1</t>
  </si>
  <si>
    <t>ENSDARG00000078118</t>
  </si>
  <si>
    <t>fam60al</t>
  </si>
  <si>
    <t>family with sequence similarity 60, member A, like [Source:ZFIN;Acc:ZDB-GENE-031114-2]</t>
  </si>
  <si>
    <t>si:ch1073-366l7.1</t>
  </si>
  <si>
    <t>ENSDARG00000101824</t>
  </si>
  <si>
    <t>si:ch1073-366l7.1 [Source:ZFIN;Acc:ZDB-GENE-141219-7]</t>
  </si>
  <si>
    <t>banf1</t>
  </si>
  <si>
    <t>ENSDARG00000037009</t>
  </si>
  <si>
    <t>barrier to autointegration factor 1 [Source:ZFIN;Acc:ZDB-GENE-030131-6657]</t>
  </si>
  <si>
    <t>chek1</t>
  </si>
  <si>
    <t>ENSDARG00000104765</t>
  </si>
  <si>
    <t>checkpoint kinase 1 [Source:ZFIN;Acc:ZDB-GENE-040426-896]</t>
  </si>
  <si>
    <t>kif14</t>
  </si>
  <si>
    <t>ENSDARG00000062187</t>
  </si>
  <si>
    <t>kinesin family member 14 [Source:ZFIN;Acc:ZDB-GENE-030131-5759]</t>
  </si>
  <si>
    <t>si:dkey-57a22.11</t>
  </si>
  <si>
    <t>ENSDARG00000092651</t>
  </si>
  <si>
    <t>si:dkey-57a22.11 [Source:ZFIN;Acc:ZDB-GENE-081104-423]</t>
  </si>
  <si>
    <t>CENPU</t>
  </si>
  <si>
    <t>ENSDARG00000088924</t>
  </si>
  <si>
    <t>si:dkey-185e18.7 [Source:ZFIN;Acc:ZDB-GENE-141215-72]</t>
  </si>
  <si>
    <t>si:dkey-30c15.10</t>
  </si>
  <si>
    <t>ENSDARG00000088130</t>
  </si>
  <si>
    <t>si:dkey-30c15.10 [Source:ZFIN;Acc:ZDB-GENE-060503-826]</t>
  </si>
  <si>
    <t>rnaseh2a</t>
  </si>
  <si>
    <t>ENSDARG00000018891</t>
  </si>
  <si>
    <t>ribonuclease H2, subunit A [Source:ZFIN;Acc:ZDB-GENE-040426-976]</t>
  </si>
  <si>
    <t>haus7</t>
  </si>
  <si>
    <t>ENSDARG00000037432</t>
  </si>
  <si>
    <t>HAUS augmin-like complex, subunit 7 [Source:ZFIN;Acc:ZDB-GENE-050506-15]</t>
  </si>
  <si>
    <t>uhrf1</t>
  </si>
  <si>
    <t>ENSDARG00000103409</t>
  </si>
  <si>
    <t>ubiquitin-like with PHD and ring finger domains 1 [Source:ZFIN;Acc:ZDB-GENE-040426-2039]</t>
  </si>
  <si>
    <t>hmgb1b</t>
  </si>
  <si>
    <t>ENSDARG00000030479</t>
  </si>
  <si>
    <t>high mobility group box 1b [Source:ZFIN;Acc:ZDB-GENE-030131-8480]</t>
  </si>
  <si>
    <t>gins3</t>
  </si>
  <si>
    <t>ENSDARG00000038847</t>
  </si>
  <si>
    <t>GINS complex subunit 3 [Source:ZFIN;Acc:ZDB-GENE-040721-1]</t>
  </si>
  <si>
    <t>si:ch211-288g17.3</t>
  </si>
  <si>
    <t>ENSDARG00000070959</t>
  </si>
  <si>
    <t>si:ch211-288g17.3 [Source:ZFIN;Acc:ZDB-GENE-030131-461]</t>
  </si>
  <si>
    <t>mapre1a</t>
  </si>
  <si>
    <t>ENSDARG00000042927</t>
  </si>
  <si>
    <t>microtubule-associated protein, RP/EB family, member 1a [Source:ZFIN;Acc:ZDB-GENE-030131-6067]</t>
  </si>
  <si>
    <t>etaa1</t>
  </si>
  <si>
    <t>ENSDARG00000074915</t>
  </si>
  <si>
    <t>Ewing tumor-associated antigen 1 [Source:ZFIN;Acc:ZDB-GENE-080204-12]</t>
  </si>
  <si>
    <t>arpp19b</t>
  </si>
  <si>
    <t>ENSDARG00000039880</t>
  </si>
  <si>
    <t>cAMP-regulated phosphoprotein 19b [Source:ZFIN;Acc:ZDB-GENE-040426-930]</t>
  </si>
  <si>
    <t>si:dkey-108k21.10</t>
  </si>
  <si>
    <t>ENSDARG00000075508</t>
  </si>
  <si>
    <t>si:dkey-108k21.10 [Source:ZFIN;Acc:ZDB-GENE-131127-26]</t>
  </si>
  <si>
    <t>mybl2b</t>
  </si>
  <si>
    <t>ENSDARG00000032264</t>
  </si>
  <si>
    <t>v-myb avian myeloblastosis viral oncogene homolog-like 2b [Source:ZFIN;Acc:ZDB-GENE-041007-1]</t>
  </si>
  <si>
    <t>wdr76</t>
  </si>
  <si>
    <t>ENSDARG00000053554</t>
  </si>
  <si>
    <t>WD repeat domain 76 [Source:ZFIN;Acc:ZDB-GENE-030131-4513]</t>
  </si>
  <si>
    <t>cdc45</t>
  </si>
  <si>
    <t>ENSDARG00000043720</t>
  </si>
  <si>
    <t>CDC45 cell division cycle 45 homolog (S. cerevisiae) [Source:ZFIN;Acc:ZDB-GENE-040426-2710]</t>
  </si>
  <si>
    <t>si:ch211-63o20.7</t>
  </si>
  <si>
    <t>ENSDARG00000042000</t>
  </si>
  <si>
    <t>si:ch211-63o20.7 [Source:ZFIN;Acc:ZDB-GENE-041001-194]</t>
  </si>
  <si>
    <t>gmnn</t>
  </si>
  <si>
    <t>ENSDARG00000035957</t>
  </si>
  <si>
    <t>geminin, DNA replication inhibitor [Source:ZFIN;Acc:ZDB-GENE-030429-30]</t>
  </si>
  <si>
    <t>mcm5</t>
  </si>
  <si>
    <t>ENSDARG00000019507</t>
  </si>
  <si>
    <t>minichromosome maintenance complex component 5 [Source:ZFIN;Acc:ZDB-GENE-021209-1]</t>
  </si>
  <si>
    <t>nuf2</t>
  </si>
  <si>
    <t>ENSDARG00000034624</t>
  </si>
  <si>
    <t>NUF2, NDC80 kinetochore complex component, homolog [Source:ZFIN;Acc:ZDB-GENE-040426-1121]</t>
  </si>
  <si>
    <t>armc1l</t>
  </si>
  <si>
    <t>ENSDARG00000020887</t>
  </si>
  <si>
    <t>armadillo repeat containing 1, like [Source:ZFIN;Acc:ZDB-GENE-030131-9819]</t>
  </si>
  <si>
    <t>seph</t>
  </si>
  <si>
    <t>ENSDARG00000093022</t>
  </si>
  <si>
    <t>selenoprotein H [Source:ZFIN;Acc:ZDB-GENE-030411-2]</t>
  </si>
  <si>
    <t>mtfr2</t>
  </si>
  <si>
    <t>ENSDARG00000060394</t>
  </si>
  <si>
    <t>mitochondrial fission regulator 2 [Source:ZFIN;Acc:ZDB-GENE-061013-398]</t>
  </si>
  <si>
    <t>rad54l</t>
  </si>
  <si>
    <t>ENSDARG00000018623</t>
  </si>
  <si>
    <t>RAD54-like (S. cerevisiae) [Source:ZFIN;Acc:ZDB-GENE-040426-968]</t>
  </si>
  <si>
    <t>si:ch1073-159d7.10</t>
  </si>
  <si>
    <t>ENSDARG00000105366</t>
  </si>
  <si>
    <t>si:ch1073-159d7.10 [Source:ZFIN;Acc:ZDB-GENE-160113-115]</t>
  </si>
  <si>
    <t>rfc1</t>
  </si>
  <si>
    <t>ENSDARG00000054799</t>
  </si>
  <si>
    <t>replication factor C (activator 1) 1 [Source:ZFIN;Acc:ZDB-GENE-070410-99]</t>
  </si>
  <si>
    <t>prc1b</t>
  </si>
  <si>
    <t>ENSDARG00000005993</t>
  </si>
  <si>
    <t>protein regulator of cytokinesis 1b [Source:ZFIN;Acc:ZDB-GENE-040426-777]</t>
  </si>
  <si>
    <t>anp32b</t>
  </si>
  <si>
    <t>ENSDARG00000023330</t>
  </si>
  <si>
    <t>acidic (leucine-rich) nuclear phosphoprotein 32 family, member B [Source:ZFIN;Acc:ZDB-GENE-030131-719]</t>
  </si>
  <si>
    <t>DKEY-225F5.4</t>
  </si>
  <si>
    <t>ENSDARG00000101975</t>
  </si>
  <si>
    <t>si:dkey-197a4.1</t>
  </si>
  <si>
    <t>ENSDARG00000097536</t>
  </si>
  <si>
    <t>si:dkey-197a4.1 [Source:ZFIN;Acc:ZDB-GENE-131122-30]</t>
  </si>
  <si>
    <t>sub1b</t>
  </si>
  <si>
    <t>ENSDARG00000007720</t>
  </si>
  <si>
    <t>SUB1 homolog, transcriptional regulator b [Source:ZFIN;Acc:ZDB-GENE-040718-209]</t>
  </si>
  <si>
    <t>tmpoa</t>
  </si>
  <si>
    <t>ENSDARG00000007315</t>
  </si>
  <si>
    <t>thymopoietin a [Source:ZFIN;Acc:ZDB-GENE-030131-6003]</t>
  </si>
  <si>
    <t>neil1</t>
  </si>
  <si>
    <t>ENSDARG00000018061</t>
  </si>
  <si>
    <t>nei-like DNA glycosylase 1 [Source:ZFIN;Acc:ZDB-GENE-040426-994]</t>
  </si>
  <si>
    <t>cep55l</t>
  </si>
  <si>
    <t>ENSDARG00000102349</t>
  </si>
  <si>
    <t>centrosomal protein 55 like [Source:ZFIN;Acc:ZDB-GENE-050522-222]</t>
  </si>
  <si>
    <t>haus6</t>
  </si>
  <si>
    <t>ENSDARG00000101652</t>
  </si>
  <si>
    <t>HAUS augmin-like complex, subunit 6 [Source:ZFIN;Acc:ZDB-GENE-030131-5517]</t>
  </si>
  <si>
    <t>hells</t>
  </si>
  <si>
    <t>ENSDARG00000057738</t>
  </si>
  <si>
    <t>helicase, lymphoid-specific [Source:ZFIN;Acc:ZDB-GENE-030131-9923]</t>
  </si>
  <si>
    <t>gtse1</t>
  </si>
  <si>
    <t>ENSDARG00000013719</t>
  </si>
  <si>
    <t>G-2 and S-phase expressed 1 [Source:ZFIN;Acc:ZDB-GENE-050522-493]</t>
  </si>
  <si>
    <t>fam212b</t>
  </si>
  <si>
    <t>ENSDARG00000073900</t>
  </si>
  <si>
    <t>family with sequence similarity 212, member B [Source:ZFIN;Acc:ZDB-GENE-091230-4]</t>
  </si>
  <si>
    <t>mcm4</t>
  </si>
  <si>
    <t>ENSDARG00000040041</t>
  </si>
  <si>
    <t>minichromosome maintenance complex component 4 [Source:ZFIN;Acc:ZDB-GENE-030131-9544]</t>
  </si>
  <si>
    <t>mxd3</t>
  </si>
  <si>
    <t>ENSDARG00000098350</t>
  </si>
  <si>
    <t>MAX dimerization protein 3 [Source:ZFIN;Acc:ZDB-GENE-040426-1588]</t>
  </si>
  <si>
    <t>chaf1b</t>
  </si>
  <si>
    <t>ENSDARG00000056473</t>
  </si>
  <si>
    <t>chromatin assembly factor 1, subunit B [Source:ZFIN;Acc:ZDB-GENE-040426-1947]</t>
  </si>
  <si>
    <t>ANKLE1</t>
  </si>
  <si>
    <t>ENSDARG00000087529</t>
  </si>
  <si>
    <t>zgc:85936 [Source:ZFIN;Acc:ZDB-GENE-040426-2450]</t>
  </si>
  <si>
    <t>unga</t>
  </si>
  <si>
    <t>ENSDARG00000042527</t>
  </si>
  <si>
    <t>uracil DNA glycosylase a [Source:ZFIN;Acc:ZDB-GENE-040426-900]</t>
  </si>
  <si>
    <t>psmc3ip</t>
  </si>
  <si>
    <t>ENSDARG00000037892</t>
  </si>
  <si>
    <t>PSMC3 interacting protein [Source:ZFIN;Acc:ZDB-GENE-040625-125]</t>
  </si>
  <si>
    <t>vrk1.1</t>
  </si>
  <si>
    <t>ENSDARG00000091657</t>
  </si>
  <si>
    <t>vrk1</t>
  </si>
  <si>
    <t>mcm6</t>
  </si>
  <si>
    <t>ENSDARG00000057683</t>
  </si>
  <si>
    <t>minichromosome maintenance complex component 6 [Source:ZFIN;Acc:ZDB-GENE-030909-6]</t>
  </si>
  <si>
    <t>ranbp1</t>
  </si>
  <si>
    <t>ENSDARG00000014817</t>
  </si>
  <si>
    <t>RAN binding protein 1 [Source:ZFIN;Acc:ZDB-GENE-040426-2548]</t>
  </si>
  <si>
    <t>ssna1</t>
  </si>
  <si>
    <t>ENSDARG00000101300</t>
  </si>
  <si>
    <t>Sjogren syndrome nuclear autoantigen 1 [Source:ZFIN;Acc:ZDB-GENE-081104-255]</t>
  </si>
  <si>
    <t>ripply2</t>
  </si>
  <si>
    <t>ENSDARG00000070535</t>
  </si>
  <si>
    <t>ripply transcriptional repressor 2 [Source:ZFIN;Acc:ZDB-GENE-060113-2]</t>
  </si>
  <si>
    <t>tuba8l4</t>
  </si>
  <si>
    <t>ENSDARG00000006260</t>
  </si>
  <si>
    <t>tubulin, alpha 8 like 4 [Source:ZFIN;Acc:ZDB-GENE-040426-860]</t>
  </si>
  <si>
    <t>zgc:112496</t>
  </si>
  <si>
    <t>ENSDARG00000004274</t>
  </si>
  <si>
    <t>zgc:112496 [Source:ZFIN;Acc:ZDB-GENE-050320-25]</t>
  </si>
  <si>
    <t>zgc:194989</t>
  </si>
  <si>
    <t>ENSDARG00000051778</t>
  </si>
  <si>
    <t>zgc:194989 [Source:ZFIN;Acc:ZDB-GENE-080723-3]</t>
  </si>
  <si>
    <t>hmmr</t>
  </si>
  <si>
    <t>ENSDARG00000021794</t>
  </si>
  <si>
    <t>hyaluronan-mediated motility receptor (RHAMM) [Source:ZFIN;Acc:ZDB-GENE-030131-731]</t>
  </si>
  <si>
    <t>sumo3b</t>
  </si>
  <si>
    <t>ENSDARG00000035993</t>
  </si>
  <si>
    <t>small ubiquitin-like modifier 3b [Source:ZFIN;Acc:ZDB-GENE-040718-426]</t>
  </si>
  <si>
    <t>si:ch211-145d10.7</t>
  </si>
  <si>
    <t>ENSDARG00000097585</t>
  </si>
  <si>
    <t>si:ch211-145d10.7 [Source:ZFIN;Acc:ZDB-GENE-131121-246]</t>
  </si>
  <si>
    <t>ing5b</t>
  </si>
  <si>
    <t>ENSDARG00000068175</t>
  </si>
  <si>
    <t>inhibitor of growth family, member 5b [Source:ZFIN;Acc:ZDB-GENE-030616-462]</t>
  </si>
  <si>
    <t>pold2</t>
  </si>
  <si>
    <t>ENSDARG00000095046</t>
  </si>
  <si>
    <t>polymerase (DNA directed), delta 2, regulatory subunit [Source:ZFIN;Acc:ZDB-GENE-030616-157]</t>
  </si>
  <si>
    <t>chtf18</t>
  </si>
  <si>
    <t>ENSDARG00000058480</t>
  </si>
  <si>
    <t>CTF18, chromosome transmission fidelity factor 18 homolog (S. cerevisiae) [Source:ZFIN;Acc:ZDB-GENE-050522-508]</t>
  </si>
  <si>
    <t>nemp1</t>
  </si>
  <si>
    <t>ENSDARG00000073899</t>
  </si>
  <si>
    <t>nuclear envelope integral membrane protein 1 [Source:ZFIN;Acc:ZDB-GENE-090313-182]</t>
  </si>
  <si>
    <t>gstt1a</t>
  </si>
  <si>
    <t>ENSDARG00000042428</t>
  </si>
  <si>
    <t>glutathione S-transferase theta 1a [Source:ZFIN;Acc:ZDB-GENE-031001-13]</t>
  </si>
  <si>
    <t>shcbp1</t>
  </si>
  <si>
    <t>ENSDARG00000102068</t>
  </si>
  <si>
    <t>SHC SH2-domain binding protein 1 [Source:ZFIN;Acc:ZDB-GENE-030131-5865]</t>
  </si>
  <si>
    <t>si:ch211-255i3.5</t>
  </si>
  <si>
    <t>ENSDARG00000090097</t>
  </si>
  <si>
    <t>si:ch211-255i3.5 [Source:ZFIN;Acc:ZDB-GENE-100922-145]</t>
  </si>
  <si>
    <t>cdc7</t>
  </si>
  <si>
    <t>ENSDARG00000023584</t>
  </si>
  <si>
    <t>cell division cycle 7 homolog (S. cerevisiae) [Source:ZFIN;Acc:ZDB-GENE-041114-113]</t>
  </si>
  <si>
    <t>lmnb1</t>
  </si>
  <si>
    <t>ENSDARG00000044299</t>
  </si>
  <si>
    <t>lamin B1 [Source:ZFIN;Acc:ZDB-GENE-020424-2]</t>
  </si>
  <si>
    <t>cdca7b</t>
  </si>
  <si>
    <t>ENSDARG00000076659</t>
  </si>
  <si>
    <t>cell division cycle associated 7b [Source:ZFIN;Acc:ZDB-GENE-030131-607]</t>
  </si>
  <si>
    <t>orc6</t>
  </si>
  <si>
    <t>ENSDARG00000075682</t>
  </si>
  <si>
    <t>origin recognition complex, subunit 6 [Source:ZFIN;Acc:ZDB-GENE-030131-2976]</t>
  </si>
  <si>
    <t>tma7</t>
  </si>
  <si>
    <t>ENSDARG00000071670</t>
  </si>
  <si>
    <t>translation machinery associated 7 homolog [Source:ZFIN;Acc:ZDB-GENE-061027-176]</t>
  </si>
  <si>
    <t>snrpg</t>
  </si>
  <si>
    <t>ENSDARG00000099667</t>
  </si>
  <si>
    <t>small nuclear ribonucleoprotein polypeptide G [Source:ZFIN;Acc:ZDB-GENE-040912-105]</t>
  </si>
  <si>
    <t>si:ch211-126c2.4</t>
  </si>
  <si>
    <t>ENSDARG00000105479</t>
  </si>
  <si>
    <t>si:ch211-126c2.4 [Source:ZFIN;Acc:ZDB-GENE-030131-3087]</t>
  </si>
  <si>
    <t>sass6</t>
  </si>
  <si>
    <t>ENSDARG00000058346</t>
  </si>
  <si>
    <t>SAS-6 centriolar assembly protein [Source:ZFIN;Acc:ZDB-GENE-040426-2784]</t>
  </si>
  <si>
    <t>lin52</t>
  </si>
  <si>
    <t>ENSDARG00000070833</t>
  </si>
  <si>
    <t>lin-52 DREAM MuvB core complex component [Source:ZFIN;Acc:ZDB-GENE-061110-82]</t>
  </si>
  <si>
    <t>seta</t>
  </si>
  <si>
    <t>ENSDARG00000031495</t>
  </si>
  <si>
    <t>SET translocation (myeloid leukemia-associated) A [Source:ZFIN;Acc:ZDB-GENE-030131-2221]</t>
  </si>
  <si>
    <t>si:ch211-137a8.4</t>
  </si>
  <si>
    <t>ENSDARG00000078748</t>
  </si>
  <si>
    <t>si:ch211-137a8.4 [Source:ZFIN;Acc:ZDB-GENE-030131-3742]</t>
  </si>
  <si>
    <t>ezh2</t>
  </si>
  <si>
    <t>ENSDARG00000010571</t>
  </si>
  <si>
    <t>enhancer of zeste 2 polycomb repressive complex 2 subunit [Source:ZFIN;Acc:ZDB-GENE-041111-259]</t>
  </si>
  <si>
    <t>ahcy</t>
  </si>
  <si>
    <t>ENSDARG00000005191</t>
  </si>
  <si>
    <t>adenosylhomocysteinase [Source:ZFIN;Acc:ZDB-GENE-031219-6]</t>
  </si>
  <si>
    <t>ssrp1a</t>
  </si>
  <si>
    <t>ENSDARG00000037397</t>
  </si>
  <si>
    <t>structure specific recognition protein 1a [Source:ZFIN;Acc:ZDB-GENE-031118-9]</t>
  </si>
  <si>
    <t>si:dkey-176g4.4</t>
  </si>
  <si>
    <t>ENSDARG00000068792</t>
  </si>
  <si>
    <t>si:dkey-176g4.4 [Source:ZFIN;Acc:ZDB-GENE-110411-279]</t>
  </si>
  <si>
    <t>pfn2</t>
  </si>
  <si>
    <t>ENSDARG00000003952</t>
  </si>
  <si>
    <t>profilin 2 [Source:ZFIN;Acc:ZDB-GENE-040115-4]</t>
  </si>
  <si>
    <t>cbx5</t>
  </si>
  <si>
    <t>ENSDARG00000061187</t>
  </si>
  <si>
    <t>chromobox homolog 5 (HP1 alpha homolog, Drosophila) [Source:ZFIN;Acc:ZDB-GENE-030131-5553]</t>
  </si>
  <si>
    <t>tubg1</t>
  </si>
  <si>
    <t>ENSDARG00000015610</t>
  </si>
  <si>
    <t>tubulin, gamma 1 [Source:ZFIN;Acc:ZDB-GENE-040426-836]</t>
  </si>
  <si>
    <t>nup93</t>
  </si>
  <si>
    <t>ENSDARG00000003487</t>
  </si>
  <si>
    <t>nucleoporin 93 [Source:ZFIN;Acc:ZDB-GENE-990415-46]</t>
  </si>
  <si>
    <t>cbx3a</t>
  </si>
  <si>
    <t>ENSDARG00000003860</t>
  </si>
  <si>
    <t>chromobox homolog 3a (HP1 gamma homolog, Drosophila) [Source:ZFIN;Acc:ZDB-GENE-030131-1158]</t>
  </si>
  <si>
    <t>btg3</t>
  </si>
  <si>
    <t>ENSDARG00000069065</t>
  </si>
  <si>
    <t>B-cell translocation gene 3 [Source:ZFIN;Acc:ZDB-GENE-031113-19]</t>
  </si>
  <si>
    <t>paxip1</t>
  </si>
  <si>
    <t>ENSDARG00000005606</t>
  </si>
  <si>
    <t>PAX interacting (with transcription-activation domain) protein 1 [Source:ZFIN;Acc:ZDB-GENE-041010-214]</t>
  </si>
  <si>
    <t>taf15</t>
  </si>
  <si>
    <t>ENSDARG00000070019</t>
  </si>
  <si>
    <t>TAF15 RNA polymerase II, TATA box binding protein (TBP)-associated factor [Source:ZFIN;Acc:ZDB-GENE-061215-102]</t>
  </si>
  <si>
    <t>ndnl2</t>
  </si>
  <si>
    <t>ENSDARG00000058212</t>
  </si>
  <si>
    <t>necdin-like 2 [Source:ZFIN;Acc:ZDB-GENE-031107-3]</t>
  </si>
  <si>
    <t>pcgf6</t>
  </si>
  <si>
    <t>ENSDARG00000069681</t>
  </si>
  <si>
    <t>polycomb group ring finger 6 [Source:ZFIN;Acc:ZDB-GENE-060526-178]</t>
  </si>
  <si>
    <t>hnrnpabb</t>
  </si>
  <si>
    <t>ENSDARG00000099865</t>
  </si>
  <si>
    <t>heterogeneous nuclear ribonucleoprotein A/Bb [Source:ZFIN;Acc:ZDB-GENE-040426-2516]</t>
  </si>
  <si>
    <t>ubr7</t>
  </si>
  <si>
    <t>ENSDARG00000005536</t>
  </si>
  <si>
    <t>ubiquitin protein ligase E3 component n-recognin 7 [Source:ZFIN;Acc:ZDB-GENE-030131-1535]</t>
  </si>
  <si>
    <t>mcmbp</t>
  </si>
  <si>
    <t>ENSDARG00000055314</t>
  </si>
  <si>
    <t>minichromosome maintenance complex binding protein [Source:ZFIN;Acc:ZDB-GENE-030131-9676]</t>
  </si>
  <si>
    <t>hat1</t>
  </si>
  <si>
    <t>ENSDARG00000034916</t>
  </si>
  <si>
    <t>histone acetyltransferase 1 [Source:ZFIN;Acc:ZDB-GENE-040912-99]</t>
  </si>
  <si>
    <t>msh6</t>
  </si>
  <si>
    <t>ENSDARG00000104541</t>
  </si>
  <si>
    <t>mutS homolog 6 (E. coli) [Source:ZFIN;Acc:ZDB-GENE-020905-3]</t>
  </si>
  <si>
    <t>zgc:153409</t>
  </si>
  <si>
    <t>ENSDARG00000061547</t>
  </si>
  <si>
    <t>zgc:153409 [Source:ZFIN;Acc:ZDB-GENE-060929-224]</t>
  </si>
  <si>
    <t>noxo1a</t>
  </si>
  <si>
    <t>ENSDARG00000041294</t>
  </si>
  <si>
    <t>NADPH oxidase organizer 1a [Source:ZFIN;Acc:ZDB-GENE-030131-9700]</t>
  </si>
  <si>
    <t>smc1al</t>
  </si>
  <si>
    <t>ENSDARG00000058203</t>
  </si>
  <si>
    <t>structural maintenance of chromosomes 1A, like [Source:ZFIN;Acc:ZDB-GENE-040426-57]</t>
  </si>
  <si>
    <t>hnrnpa0b</t>
  </si>
  <si>
    <t>ENSDARG00000036162</t>
  </si>
  <si>
    <t>heterogeneous nuclear ribonucleoprotein A0b [Source:ZFIN;Acc:ZDB-GENE-030131-6154]</t>
  </si>
  <si>
    <t>lmnb2</t>
  </si>
  <si>
    <t>ENSDARG00000101624</t>
  </si>
  <si>
    <t>lamin B2 [Source:ZFIN;Acc:ZDB-GENE-990630-13]</t>
  </si>
  <si>
    <t>snrpb</t>
  </si>
  <si>
    <t>ENSDARG00000011125</t>
  </si>
  <si>
    <t>small nuclear ribonucleoprotein polypeptides B and B1 [Source:ZFIN;Acc:ZDB-GENE-040426-1819]</t>
  </si>
  <si>
    <t>ewsr1b</t>
  </si>
  <si>
    <t>ENSDARG00000020465</t>
  </si>
  <si>
    <t>EWS RNA-binding protein 1b [Source:ZFIN;Acc:ZDB-GENE-030131-1600]</t>
  </si>
  <si>
    <t>rfc2</t>
  </si>
  <si>
    <t>ENSDARG00000014274</t>
  </si>
  <si>
    <t>replication factor C (activator 1) 2 [Source:ZFIN;Acc:ZDB-GENE-050306-29]</t>
  </si>
  <si>
    <t>rad18</t>
  </si>
  <si>
    <t>ENSDARG00000027938</t>
  </si>
  <si>
    <t>RAD18 E3 ubiquitin protein ligase [Source:ZFIN;Acc:ZDB-GENE-040426-745]</t>
  </si>
  <si>
    <t>xrcc3</t>
  </si>
  <si>
    <t>ENSDARG00000017928</t>
  </si>
  <si>
    <t>X-ray repair complementing defective repair in Chinese hamster cells 3 [Source:ZFIN;Acc:ZDB-GENE-050320-116]</t>
  </si>
  <si>
    <t>nudt1</t>
  </si>
  <si>
    <t>ENSDARG00000030573</t>
  </si>
  <si>
    <t>nudix (nucleoside diphosphate linked moiety X)-type motif 1 [Source:ZFIN;Acc:ZDB-GENE-040426-2757]</t>
  </si>
  <si>
    <t>HUS1B</t>
  </si>
  <si>
    <t>ENSDARG00000101611</t>
  </si>
  <si>
    <t>zgc:162895 [Source:ZFIN;Acc:ZDB-GENE-070410-106]</t>
  </si>
  <si>
    <t>srsf3a</t>
  </si>
  <si>
    <t>ENSDARG00000102957</t>
  </si>
  <si>
    <t>pole3</t>
  </si>
  <si>
    <t>ENSDARG00000008551</t>
  </si>
  <si>
    <t>polymerase (DNA directed), epsilon 3 (p17 subunit) [Source:ZFIN;Acc:ZDB-GENE-040426-1773]</t>
  </si>
  <si>
    <t>PODXL2</t>
  </si>
  <si>
    <t>ENSDARG00000104419</t>
  </si>
  <si>
    <t>podocalyxin-like 2 [Source:HGNC Symbol;Acc:HGNC:17936]</t>
  </si>
  <si>
    <t>prp19</t>
  </si>
  <si>
    <t>ENSDARG00000015239</t>
  </si>
  <si>
    <t>PRP19/PSO4 homolog (S. cerevisiae) [Source:ZFIN;Acc:ZDB-GENE-030131-263]</t>
  </si>
  <si>
    <t>pin1</t>
  </si>
  <si>
    <t>ENSDARG00000101915</t>
  </si>
  <si>
    <t>protein (peptidyl-prolyl cis/trans isomerase) NIMA-interacting 1 [Source:ZFIN;Acc:ZDB-GENE-040426-1714]</t>
  </si>
  <si>
    <t>siva1</t>
  </si>
  <si>
    <t>ENSDARG00000103598</t>
  </si>
  <si>
    <t>SIVA1, apoptosis-inducing factor [Source:ZFIN;Acc:ZDB-GENE-050506-57]</t>
  </si>
  <si>
    <t>sost</t>
  </si>
  <si>
    <t>ENSDARG00000061259</t>
  </si>
  <si>
    <t>sclerostin [Source:ZFIN;Acc:ZDB-GENE-110411-139]</t>
  </si>
  <si>
    <t>fam83d</t>
  </si>
  <si>
    <t>ENSDARG00000077883</t>
  </si>
  <si>
    <t>family with sequence similarity 83, member D [Source:ZFIN;Acc:ZDB-GENE-041111-264]</t>
  </si>
  <si>
    <t>ccdc61</t>
  </si>
  <si>
    <t>ENSDARG00000062307</t>
  </si>
  <si>
    <t>coiled-coil domain containing 61 [Source:ZFIN;Acc:ZDB-GENE-060929-348]</t>
  </si>
  <si>
    <t>lin37</t>
  </si>
  <si>
    <t>ENSDARG00000053950</t>
  </si>
  <si>
    <t>lin-37 DREAM MuvB core complex component [Source:ZFIN;Acc:ZDB-GENE-050417-446]</t>
  </si>
  <si>
    <t>ccnf</t>
  </si>
  <si>
    <t>ENSDARG00000105046</t>
  </si>
  <si>
    <t>cyclin F [Source:ZFIN;Acc:ZDB-GENE-021030-2]</t>
  </si>
  <si>
    <t>pa2g4a</t>
  </si>
  <si>
    <t>ENSDARG00000039578</t>
  </si>
  <si>
    <t>proliferation-associated 2G4, a [Source:ZFIN;Acc:ZDB-GENE-030616-161]</t>
  </si>
  <si>
    <t>rad21a</t>
  </si>
  <si>
    <t>ENSDARG00000006092</t>
  </si>
  <si>
    <t>RAD21 cohesin complex component a [Source:ZFIN;Acc:ZDB-GENE-030131-994]</t>
  </si>
  <si>
    <t>mych</t>
  </si>
  <si>
    <t>ENSDARG00000077473</t>
  </si>
  <si>
    <t>myelocytomatosis oncogene homolog [Source:ZFIN;Acc:ZDB-GENE-030219-51]</t>
  </si>
  <si>
    <t>adssl</t>
  </si>
  <si>
    <t>ENSDARG00000012399</t>
  </si>
  <si>
    <t>adenylosuccinate synthase, like [Source:ZFIN;Acc:ZDB-GENE-020419-28]</t>
  </si>
  <si>
    <t>cbx1a</t>
  </si>
  <si>
    <t>ENSDARG00000004189</t>
  </si>
  <si>
    <t>chromobox homolog 1a (HP1 beta homolog Drosophila) [Source:ZFIN;Acc:ZDB-GENE-030131-4945]</t>
  </si>
  <si>
    <t>anp32a</t>
  </si>
  <si>
    <t>ENSDARG00000006487</t>
  </si>
  <si>
    <t>acidic (leucine-rich) nuclear phosphoprotein 32 family, member A [Source:ZFIN;Acc:ZDB-GENE-030131-7850]</t>
  </si>
  <si>
    <t>zgc:101819</t>
  </si>
  <si>
    <t>ENSDARG00000057114</t>
  </si>
  <si>
    <t>zgc:101819 [Source:ZFIN;Acc:ZDB-GENE-030131-740]</t>
  </si>
  <si>
    <t>si:dkey-103g5.3</t>
  </si>
  <si>
    <t>ENSDARG00000062319</t>
  </si>
  <si>
    <t>si:dkey-103g5.3 [Source:ZFIN;Acc:ZDB-GENE-131127-337]</t>
  </si>
  <si>
    <t>mcm2</t>
  </si>
  <si>
    <t>ENSDARG00000102798</t>
  </si>
  <si>
    <t>minichromosome maintenance complex component 2 [Source:ZFIN;Acc:ZDB-GENE-020419-24]</t>
  </si>
  <si>
    <t>CDCA2</t>
  </si>
  <si>
    <t>ENSDARG00000068759</t>
  </si>
  <si>
    <t>si:ch211-244o22.2 [Source:ZFIN;Acc:ZDB-GENE-030131-3271]</t>
  </si>
  <si>
    <t>ppm1g</t>
  </si>
  <si>
    <t>ENSDARG00000075559</t>
  </si>
  <si>
    <t>protein phosphatase, Mg2+/Mn2+ dependent, 1G [Source:ZFIN;Acc:ZDB-GENE-030425-4]</t>
  </si>
  <si>
    <t>dcps</t>
  </si>
  <si>
    <t>ENSDARG00000009862</t>
  </si>
  <si>
    <t>decapping enzyme, scavenger [Source:ZFIN;Acc:ZDB-GENE-040311-1]</t>
  </si>
  <si>
    <t>abcf1</t>
  </si>
  <si>
    <t>ENSDARG00000031795</t>
  </si>
  <si>
    <t>ATP-binding cassette, sub-family F (GCN20), member 1 [Source:ZFIN;Acc:ZDB-GENE-050517-31]</t>
  </si>
  <si>
    <t>ran</t>
  </si>
  <si>
    <t>ENSDARG00000057026</t>
  </si>
  <si>
    <t>RAN, member RAS oncogene family [Source:ZFIN;Acc:ZDB-GENE-990415-88]</t>
  </si>
  <si>
    <t>dkc1</t>
  </si>
  <si>
    <t>ENSDARG00000016484</t>
  </si>
  <si>
    <t>dyskeratosis congenita 1, dyskerin [Source:ZFIN;Acc:ZDB-GENE-031118-120]</t>
  </si>
  <si>
    <t>baz1b</t>
  </si>
  <si>
    <t>ENSDARG00000102832</t>
  </si>
  <si>
    <t>bromodomain adjacent to zinc finger domain, 1B [Source:ZFIN;Acc:ZDB-GENE-010328-16]</t>
  </si>
  <si>
    <t>sart3</t>
  </si>
  <si>
    <t>ENSDARG00000008032</t>
  </si>
  <si>
    <t>squamous cell carcinoma antigen recognized by T cells 3 [Source:ZFIN;Acc:ZDB-GENE-040724-10]</t>
  </si>
  <si>
    <t>rangap1a</t>
  </si>
  <si>
    <t>ENSDARG00000041317</t>
  </si>
  <si>
    <t>RAN GTPase activating protein 1a [Source:ZFIN;Acc:ZDB-GENE-060929-492]</t>
  </si>
  <si>
    <t>anapc10</t>
  </si>
  <si>
    <t>ENSDARG00000090152</t>
  </si>
  <si>
    <t>anaphase promoting complex subunit 10 [Source:ZFIN;Acc:ZDB-GENE-060224-2]</t>
  </si>
  <si>
    <t>orc2</t>
  </si>
  <si>
    <t>ENSDARG00000101465</t>
  </si>
  <si>
    <t>origin recognition complex, subunit 2 [Source:ZFIN;Acc:ZDB-GENE-061013-682]</t>
  </si>
  <si>
    <t>setb</t>
  </si>
  <si>
    <t>ENSDARG00000003920</t>
  </si>
  <si>
    <t>SET translocation (myeloid leukemia-associated) B [Source:ZFIN;Acc:ZDB-GENE-030131-433]</t>
  </si>
  <si>
    <t>polr3glb</t>
  </si>
  <si>
    <t>ENSDARG00000013734</t>
  </si>
  <si>
    <t>polymerase (RNA) III (DNA directed) polypeptide G like b [Source:ZFIN;Acc:ZDB-GENE-041010-32]</t>
  </si>
  <si>
    <t>uck2b</t>
  </si>
  <si>
    <t>ENSDARG00000022213</t>
  </si>
  <si>
    <t>uridine-cytidine kinase 2b [Source:ZFIN;Acc:ZDB-GENE-030131-5265]</t>
  </si>
  <si>
    <t>brms1la</t>
  </si>
  <si>
    <t>ENSDARG00000006235</t>
  </si>
  <si>
    <t>breast cancer metastasis-suppressor 1-like a [Source:ZFIN;Acc:ZDB-GENE-050913-49]</t>
  </si>
  <si>
    <t>wbscr16</t>
  </si>
  <si>
    <t>ENSDARG00000059583</t>
  </si>
  <si>
    <t>Williams-Beuren syndrome chromosome region 16 homolog (human) [Source:ZFIN;Acc:ZDB-GENE-060526-370]</t>
  </si>
  <si>
    <t>hnrnpa1b</t>
  </si>
  <si>
    <t>ENSDARG00000036675</t>
  </si>
  <si>
    <t>heterogeneous nuclear ribonucleoprotein A1b [Source:ZFIN;Acc:ZDB-GENE-030912-14]</t>
  </si>
  <si>
    <t>ndc1</t>
  </si>
  <si>
    <t>ENSDARG00000021120</t>
  </si>
  <si>
    <t>NDC1 transmembrane nucleoporin [Source:ZFIN;Acc:ZDB-GENE-030131-7176]</t>
  </si>
  <si>
    <t>marcksb</t>
  </si>
  <si>
    <t>ENSDARG00000008803</t>
  </si>
  <si>
    <t>myristoylated alanine-rich protein kinase C substrate b [Source:ZFIN;Acc:ZDB-GENE-030131-1921]</t>
  </si>
  <si>
    <t>wu:fj29h11</t>
  </si>
  <si>
    <t>ENSDARG00000096562</t>
  </si>
  <si>
    <t>wu:fj29h11 [Source:ZFIN;Acc:ZDB-GENE-030131-7558]</t>
  </si>
  <si>
    <t>ctcf</t>
  </si>
  <si>
    <t>ENSDARG00000056621</t>
  </si>
  <si>
    <t>CCCTC-binding factor (zinc finger protein) [Source:ZFIN;Acc:ZDB-GENE-040624-5]</t>
  </si>
  <si>
    <t>sepw1</t>
  </si>
  <si>
    <t>ENSDARG00000035136</t>
  </si>
  <si>
    <t>selenoprotein W, 1 [Source:ZFIN;Acc:ZDB-GENE-030410-5]</t>
  </si>
  <si>
    <t>prkdc</t>
  </si>
  <si>
    <t>ENSDARG00000075083</t>
  </si>
  <si>
    <t>protein kinase, DNA-activated, catalytic polypeptide [Source:ZFIN;Acc:ZDB-GENE-030131-9008]</t>
  </si>
  <si>
    <t>men1</t>
  </si>
  <si>
    <t>ENSDARG00000089456</t>
  </si>
  <si>
    <t>multiple endocrine neoplasia I [Source:ZFIN;Acc:ZDB-GENE-991110-12]</t>
  </si>
  <si>
    <t>hbl2</t>
  </si>
  <si>
    <t>ENSDARG00000094681</t>
  </si>
  <si>
    <t>hexose-binding lectin 2 [Source:ZFIN;Acc:ZDB-GENE-070912-286]</t>
  </si>
  <si>
    <t>cuedc2</t>
  </si>
  <si>
    <t>ENSDARG00000039365</t>
  </si>
  <si>
    <t>CUE domain containing 2 [Source:ZFIN;Acc:ZDB-GENE-030131-6283]</t>
  </si>
  <si>
    <t>ncl</t>
  </si>
  <si>
    <t>ENSDARG00000002710</t>
  </si>
  <si>
    <t>nucleolin [Source:ZFIN;Acc:ZDB-GENE-030131-6986]</t>
  </si>
  <si>
    <t>khsrp</t>
  </si>
  <si>
    <t>ENSDARG00000026489</t>
  </si>
  <si>
    <t>KH-type splicing regulatory protein [Source:ZFIN;Acc:ZDB-GENE-030131-4357]</t>
  </si>
  <si>
    <t>cse1l</t>
  </si>
  <si>
    <t>ENSDARG00000006963</t>
  </si>
  <si>
    <t>CSE1 chromosome segregation 1-like (yeast) [Source:ZFIN;Acc:ZDB-GENE-990603-1]</t>
  </si>
  <si>
    <t>alpl</t>
  </si>
  <si>
    <t>ENSDARG00000015546</t>
  </si>
  <si>
    <t>alkaline phosphatase, liver/bone/kidney [Source:ZFIN;Acc:ZDB-GENE-040420-1]</t>
  </si>
  <si>
    <t>rad1</t>
  </si>
  <si>
    <t>ENSDARG00000040559</t>
  </si>
  <si>
    <t>RAD1 homolog (S. pombe) [Source:ZFIN;Acc:ZDB-GENE-040426-1873]</t>
  </si>
  <si>
    <t>srrt</t>
  </si>
  <si>
    <t>ENSDARG00000017762</t>
  </si>
  <si>
    <t>serrate RNA effector molecule homolog (Arabidopsis) [Source:ZFIN;Acc:ZDB-GENE-020419-13]</t>
  </si>
  <si>
    <t>emp2</t>
  </si>
  <si>
    <t>ENSDARG00000044588</t>
  </si>
  <si>
    <t>epithelial membrane protein 2 [Source:ZFIN;Acc:ZDB-GENE-040822-24]</t>
  </si>
  <si>
    <t>snrpa</t>
  </si>
  <si>
    <t>ENSDARG00000018890</t>
  </si>
  <si>
    <t>small nuclear ribonucleoprotein polypeptide A [Source:ZFIN;Acc:ZDB-GENE-030131-2841]</t>
  </si>
  <si>
    <t>hnrnpr</t>
  </si>
  <si>
    <t>ENSDARG00000014569</t>
  </si>
  <si>
    <t>heterogeneous nuclear ribonucleoprotein R [Source:ZFIN;Acc:ZDB-GENE-040426-2766]</t>
  </si>
  <si>
    <t>gsta.2</t>
  </si>
  <si>
    <t>ENSDARG00000039832</t>
  </si>
  <si>
    <t>glutathione S-transferase, alpha tandem duplicate 2 [Source:ZFIN;Acc:ZDB-GENE-070822-30]</t>
  </si>
  <si>
    <t>whsc1</t>
  </si>
  <si>
    <t>ENSDARG00000026225</t>
  </si>
  <si>
    <t>Wolf-Hirschhorn syndrome candidate 1 [Source:ZFIN;Acc:ZDB-GENE-030131-2581]</t>
  </si>
  <si>
    <t>xrcc5</t>
  </si>
  <si>
    <t>ENSDARG00000099298</t>
  </si>
  <si>
    <t>X-ray repair complementing defective repair in Chinese hamster cells 5 [Source:ZFIN;Acc:ZDB-GENE-041008-108]</t>
  </si>
  <si>
    <t>ivns1abpb</t>
  </si>
  <si>
    <t>ENSDARG00000013946</t>
  </si>
  <si>
    <t>influenza virus NS1A binding protein b [Source:ZFIN;Acc:ZDB-GENE-030131-6266]</t>
  </si>
  <si>
    <t>odf2b</t>
  </si>
  <si>
    <t>ENSDARG00000020702</t>
  </si>
  <si>
    <t>outer dense fiber of sperm tails 2b [Source:ZFIN;Acc:ZDB-GENE-041008-119]</t>
  </si>
  <si>
    <t>srsf5a</t>
  </si>
  <si>
    <t>ENSDARG00000029818</t>
  </si>
  <si>
    <t>serine/arginine-rich splicing factor 5a [Source:ZFIN;Acc:ZDB-GENE-030131-7336]</t>
  </si>
  <si>
    <t>hmgb1a</t>
  </si>
  <si>
    <t>ENSDARG00000099175</t>
  </si>
  <si>
    <t>high mobility group box 1a [Source:ZFIN;Acc:ZDB-GENE-030131-341]</t>
  </si>
  <si>
    <t>si:dkey-264b2.3</t>
  </si>
  <si>
    <t>ENSDARG00000092875</t>
  </si>
  <si>
    <t>si:dkey-264b2.3 [Source:ZFIN;Acc:ZDB-GENE-070912-485]</t>
  </si>
  <si>
    <t>srsf1a</t>
  </si>
  <si>
    <t>ENSDARG00000057691</t>
  </si>
  <si>
    <t>serine/arginine-rich splicing factor 1a [Source:ZFIN;Acc:ZDB-GENE-040426-1950]</t>
  </si>
  <si>
    <t>camk2d1</t>
  </si>
  <si>
    <t>ENSDARG00000043010</t>
  </si>
  <si>
    <t>calcium/calmodulin-dependent protein kinase (CaM kinase) II delta 1 [Source:ZFIN;Acc:ZDB-GENE-040801-121]</t>
  </si>
  <si>
    <t>nup58</t>
  </si>
  <si>
    <t>ENSDARG00000033965</t>
  </si>
  <si>
    <t>nucleoporin 58 [Source:ZFIN;Acc:ZDB-GENE-040426-2326]</t>
  </si>
  <si>
    <t>her4.2.1</t>
  </si>
  <si>
    <t>ENSDARG00000056729</t>
  </si>
  <si>
    <t>her4.2</t>
  </si>
  <si>
    <t>hairy-related 4, tandem duplicate 2 [Source:ZFIN;Acc:ZDB-GENE-060815-1]</t>
  </si>
  <si>
    <t>foxn4</t>
  </si>
  <si>
    <t>ENSDARG00000010591</t>
  </si>
  <si>
    <t>forkhead box N4 [Source:ZFIN;Acc:ZDB-GENE-990415-277]</t>
  </si>
  <si>
    <t>ENSDARG00000094426</t>
  </si>
  <si>
    <t>dla</t>
  </si>
  <si>
    <t>ENSDARG00000010791</t>
  </si>
  <si>
    <t>deltaA [Source:ZFIN;Acc:ZDB-GENE-980526-29]</t>
  </si>
  <si>
    <t>hes2.2</t>
  </si>
  <si>
    <t>ENSDARG00000068168</t>
  </si>
  <si>
    <t>hes family bHLH transcription factor 2, tandem duplicate 2 [Source:ZFIN;Acc:ZDB-GENE-060825-55]</t>
  </si>
  <si>
    <t>si:ch211-152f23.5</t>
  </si>
  <si>
    <t>ENSDARG00000019741</t>
  </si>
  <si>
    <t>si:ch211-152f23.5 [Source:ZFIN;Acc:ZDB-GENE-080917-47]</t>
  </si>
  <si>
    <t>her4.1</t>
  </si>
  <si>
    <t>ENSDARG00000056732</t>
  </si>
  <si>
    <t>hairy-related 4, tandem duplicate 1 [Source:ZFIN;Acc:ZDB-GENE-980526-521]</t>
  </si>
  <si>
    <t>si:ch211-236g6.1</t>
  </si>
  <si>
    <t>ENSDARG00000071590</t>
  </si>
  <si>
    <t>si:ch211-236g6.1 [Source:ZFIN;Acc:ZDB-GENE-050208-448]</t>
  </si>
  <si>
    <t>mdkb</t>
  </si>
  <si>
    <t>ENSDARG00000020708</t>
  </si>
  <si>
    <t>midkine b [Source:ZFIN;Acc:ZDB-GENE-010131-6]</t>
  </si>
  <si>
    <t>fam84a</t>
  </si>
  <si>
    <t>ENSDARG00000018921</t>
  </si>
  <si>
    <t>family with sequence similarity 84, member A [Source:ZFIN;Acc:ZDB-GENE-040426-1247]</t>
  </si>
  <si>
    <t>bves</t>
  </si>
  <si>
    <t>ENSDARG00000058548</t>
  </si>
  <si>
    <t>blood vessel epicardial substance [Source:ZFIN;Acc:ZDB-GENE-040624-11]</t>
  </si>
  <si>
    <t>vip</t>
  </si>
  <si>
    <t>ENSDARG00000078247</t>
  </si>
  <si>
    <t>vasoactive intestinal peptide [Source:ZFIN;Acc:ZDB-GENE-080204-3]</t>
  </si>
  <si>
    <t>magi1a</t>
  </si>
  <si>
    <t>ENSDARG00000070145</t>
  </si>
  <si>
    <t>membrane associated guanylate kinase, WW and PDZ domain containing 1a [Source:ZFIN;Acc:ZDB-GENE-081105-13]</t>
  </si>
  <si>
    <t>her4.4</t>
  </si>
  <si>
    <t>ENSDARG00000009822</t>
  </si>
  <si>
    <t>hairy-related 4, tandem duplicate 4 [Source:ZFIN;Acc:ZDB-GENE-081031-104]</t>
  </si>
  <si>
    <t>ctbp2a</t>
  </si>
  <si>
    <t>ENSDARG00000044062</t>
  </si>
  <si>
    <t>C-terminal binding protein 2a [Source:ZFIN;Acc:ZDB-GENE-010130-2]</t>
  </si>
  <si>
    <t>si:ch211-8i17.2</t>
  </si>
  <si>
    <t>ENSDARG00000097547</t>
  </si>
  <si>
    <t>si:ch211-8i17.2 [Source:ZFIN;Acc:ZDB-GENE-131127-170]</t>
  </si>
  <si>
    <t>si:dkey-106c17.3</t>
  </si>
  <si>
    <t>ENSDARG00000059747</t>
  </si>
  <si>
    <t>si:dkey-106c17.3 [Source:ZFIN;Acc:ZDB-GENE-060503-706]</t>
  </si>
  <si>
    <t>pola2</t>
  </si>
  <si>
    <t>ENSDARG00000015070</t>
  </si>
  <si>
    <t>polymerase (DNA directed), alpha 2 [Source:ZFIN;Acc:ZDB-GENE-030131-778]</t>
  </si>
  <si>
    <t>palb2</t>
  </si>
  <si>
    <t>ENSDARG00000076716</t>
  </si>
  <si>
    <t>partner and localizer of BRCA2 [Source:ZFIN;Acc:ZDB-GENE-090313-43]</t>
  </si>
  <si>
    <t>prmt1</t>
  </si>
  <si>
    <t>ENSDARG00000010246</t>
  </si>
  <si>
    <t>protein arginine methyltransferase 1 [Source:ZFIN;Acc:ZDB-GENE-030131-693]</t>
  </si>
  <si>
    <t>gas5</t>
  </si>
  <si>
    <t>ENSDARG00000092337</t>
  </si>
  <si>
    <t>growth arrest-specific 5 [Source:ZFIN;Acc:ZDB-GENE-081104-166]</t>
  </si>
  <si>
    <t>ssb</t>
  </si>
  <si>
    <t>ENSDARG00000029252</t>
  </si>
  <si>
    <t>Sjogren syndrome antigen B (autoantigen La) [Source:ZFIN;Acc:ZDB-GENE-030131-223]</t>
  </si>
  <si>
    <t>arhgap11a</t>
  </si>
  <si>
    <t>ENSDARG00000098717</t>
  </si>
  <si>
    <t>apex1</t>
  </si>
  <si>
    <t>ENSDARG00000045843</t>
  </si>
  <si>
    <t>APEX nuclease (multifunctional DNA repair enzyme) 1 [Source:ZFIN;Acc:ZDB-GENE-040426-2761]</t>
  </si>
  <si>
    <t>snu13b</t>
  </si>
  <si>
    <t>ENSDARG00000023299</t>
  </si>
  <si>
    <t>SNU13 homolog, small nuclear ribonucleoprotein b (U4/U6.U5) [Source:ZFIN;Acc:ZDB-GENE-030131-9670]</t>
  </si>
  <si>
    <t>exosc6</t>
  </si>
  <si>
    <t>ENSDARG00000036060</t>
  </si>
  <si>
    <t>exosome component 6 [Source:ZFIN;Acc:ZDB-GENE-050522-362]</t>
  </si>
  <si>
    <t>si:ch211-14a11.5</t>
  </si>
  <si>
    <t>ENSDARG00000094846</t>
  </si>
  <si>
    <t>si:ch211-14a11.5 [Source:ZFIN;Acc:ZDB-GENE-050420-289]</t>
  </si>
  <si>
    <t>nop56</t>
  </si>
  <si>
    <t>ENSDARG00000012820</t>
  </si>
  <si>
    <t>NOP56 ribonucleoprotein homolog [Source:ZFIN;Acc:ZDB-GENE-040109-1]</t>
  </si>
  <si>
    <t>rpia</t>
  </si>
  <si>
    <t>ENSDARG00000056640</t>
  </si>
  <si>
    <t>ribose 5-phosphate isomerase A (ribose 5-phosphate epimerase) [Source:ZFIN;Acc:ZDB-GENE-041114-24]</t>
  </si>
  <si>
    <t>sox11b</t>
  </si>
  <si>
    <t>ENSDARG00000095743</t>
  </si>
  <si>
    <t>SRY (sex determining region Y)-box 11b [Source:ZFIN;Acc:ZDB-GENE-980526-466]</t>
  </si>
  <si>
    <t>tfdp2</t>
  </si>
  <si>
    <t>ENSDARG00000042835</t>
  </si>
  <si>
    <t>transcription factor Dp-2 [Source:ZFIN;Acc:ZDB-GENE-030219-104]</t>
  </si>
  <si>
    <t>rasgef1ba</t>
  </si>
  <si>
    <t>ENSDARG00000033614</t>
  </si>
  <si>
    <t>RasGEF domain family, member 1Ba [Source:ZFIN;Acc:ZDB-GENE-030131-5783]</t>
  </si>
  <si>
    <t>smarcad1a</t>
  </si>
  <si>
    <t>ENSDARG00000014041</t>
  </si>
  <si>
    <t>SWI/SNF-related, matrix-associated actin-dependent regulator of chromatin, subfamily a, containing DEAD/H box 1 a [Source:ZFIN;Acc:ZDB-GENE-050522-499]</t>
  </si>
  <si>
    <t>pa2g4b</t>
  </si>
  <si>
    <t>ENSDARG00000070657</t>
  </si>
  <si>
    <t>proliferation-associated 2G4, b [Source:ZFIN;Acc:ZDB-GENE-030131-2182]</t>
  </si>
  <si>
    <t>pwp2h</t>
  </si>
  <si>
    <t>ENSDARG00000037109</t>
  </si>
  <si>
    <t>PWP2 periodic tryptophan protein homolog (yeast) [Source:ZFIN;Acc:ZDB-GENE-021031-3]</t>
  </si>
  <si>
    <t>rimkla</t>
  </si>
  <si>
    <t>ENSDARG00000016830</t>
  </si>
  <si>
    <t>ribosomal modification protein rimK-like family member A [Source:ZFIN;Acc:ZDB-GENE-040912-20]</t>
  </si>
  <si>
    <t>ddx24</t>
  </si>
  <si>
    <t>ENSDARG00000104708</t>
  </si>
  <si>
    <t>DEAD (Asp-Glu-Ala-Asp) box helicase 24 [Source:ZFIN;Acc:ZDB-GENE-100716-4]</t>
  </si>
  <si>
    <t>RRP8</t>
  </si>
  <si>
    <t>ENSDARG00000071652</t>
  </si>
  <si>
    <t>si:ch211-149e23.3 [Source:ZFIN;Acc:ZDB-GENE-030131-8898]</t>
  </si>
  <si>
    <t>fbl</t>
  </si>
  <si>
    <t>ENSDARG00000053912</t>
  </si>
  <si>
    <t>fibrillarin [Source:ZFIN;Acc:ZDB-GENE-040426-1936]</t>
  </si>
  <si>
    <t>g3bp1</t>
  </si>
  <si>
    <t>ENSDARG00000017741</t>
  </si>
  <si>
    <t>GTPase activating protein (SH3 domain) binding protein 1 [Source:ZFIN;Acc:ZDB-GENE-030131-7452]</t>
  </si>
  <si>
    <t>atpif1a</t>
  </si>
  <si>
    <t>ENSDARG00000067975</t>
  </si>
  <si>
    <t>ATPase inhibitory factor 1a [Source:ZFIN;Acc:ZDB-GENE-070410-36]</t>
  </si>
  <si>
    <t>si:dkey-239h2.3</t>
  </si>
  <si>
    <t>ENSDARG00000092033</t>
  </si>
  <si>
    <t>si:dkey-239h2.3 [Source:ZFIN;Acc:ZDB-GENE-081104-383]</t>
  </si>
  <si>
    <t>nop10</t>
  </si>
  <si>
    <t>ENSDARG00000104227</t>
  </si>
  <si>
    <t>NOP10 ribonucleoprotein homolog (yeast) [Source:ZFIN;Acc:ZDB-GENE-041007-4]</t>
  </si>
  <si>
    <t>bxdc2</t>
  </si>
  <si>
    <t>ENSDARG00000098935</t>
  </si>
  <si>
    <t>brix domain containing 2 [Source:ZFIN;Acc:ZDB-GENE-060518-1]</t>
  </si>
  <si>
    <t>isy1</t>
  </si>
  <si>
    <t>ENSDARG00000063466</t>
  </si>
  <si>
    <t>ISY1 splicing factor homolog [Source:ZFIN;Acc:ZDB-GENE-030131-5864]</t>
  </si>
  <si>
    <t>zgc:114130</t>
  </si>
  <si>
    <t>ENSDARG00000040725</t>
  </si>
  <si>
    <t>zgc:114130 [Source:ZFIN;Acc:ZDB-GENE-050913-48]</t>
  </si>
  <si>
    <t>AK6</t>
  </si>
  <si>
    <t>ENSDARG00000035573</t>
  </si>
  <si>
    <t>zgc:86811 [Source:ZFIN;Acc:ZDB-GENE-040625-113]</t>
  </si>
  <si>
    <t>nhp2</t>
  </si>
  <si>
    <t>ENSDARG00000069422</t>
  </si>
  <si>
    <t>NHP2 ribonucleoprotein homolog (yeast) [Source:ZFIN;Acc:ZDB-GENE-030131-533]</t>
  </si>
  <si>
    <t>rtca</t>
  </si>
  <si>
    <t>ENSDARG00000002215</t>
  </si>
  <si>
    <t>RNA 3'-terminal phosphate cyclase [Source:ZFIN;Acc:ZDB-GENE-030131-9687]</t>
  </si>
  <si>
    <t>rrs1</t>
  </si>
  <si>
    <t>ENSDARG00000003941</t>
  </si>
  <si>
    <t>RRS1 ribosome biogenesis regulator homolog (S. cerevisiae) [Source:ZFIN;Acc:ZDB-GENE-030131-9345]</t>
  </si>
  <si>
    <t>tox3</t>
  </si>
  <si>
    <t>ENSDARG00000073957</t>
  </si>
  <si>
    <t>TOX high mobility group box family member 3 [Source:ZFIN;Acc:ZDB-GENE-090312-209]</t>
  </si>
  <si>
    <t>MYO1D</t>
  </si>
  <si>
    <t>ENSDARG00000036863</t>
  </si>
  <si>
    <t>si:ch211-94l19.4 [Source:ZFIN;Acc:ZDB-GENE-130531-15]</t>
  </si>
  <si>
    <t>im:7152348</t>
  </si>
  <si>
    <t>ENSDARG00000097082</t>
  </si>
  <si>
    <t>im:7152348 [Source:ZFIN;Acc:ZDB-GENE-041111-308]</t>
  </si>
  <si>
    <t>hspe1</t>
  </si>
  <si>
    <t>ENSDARG00000056167</t>
  </si>
  <si>
    <t>heat shock 10 protein 1 [Source:ZFIN;Acc:ZDB-GENE-000906-2]</t>
  </si>
  <si>
    <t>naa40.1</t>
  </si>
  <si>
    <t>ENSDARG00000090570</t>
  </si>
  <si>
    <t>naa40</t>
  </si>
  <si>
    <t>N(alpha)-acetyltransferase 40, NatD catalytic subunit, homolog (S. cerevisiae) [Source:ZFIN;Acc:ZDB-GENE-050417-105]</t>
  </si>
  <si>
    <t>si:dkey-188h10.3</t>
  </si>
  <si>
    <t>ENSDARG00000097737</t>
  </si>
  <si>
    <t>si:dkey-188h10.3 [Source:ZFIN;Acc:ZDB-GENE-030131-376]</t>
  </si>
  <si>
    <t>si:ch73-234b20.4</t>
  </si>
  <si>
    <t>ENSDARG00000093688</t>
  </si>
  <si>
    <t>si:ch73-234b20.4 [Source:ZFIN;Acc:ZDB-GENE-090313-145]</t>
  </si>
  <si>
    <t>si:dkey-105i19.5</t>
  </si>
  <si>
    <t>ENSDARG00000097595</t>
  </si>
  <si>
    <t>si:dkey-105i19.5 [Source:ZFIN;Acc:ZDB-GENE-131121-440]</t>
  </si>
  <si>
    <t>si:ch211-197h24.6</t>
  </si>
  <si>
    <t>ENSDARG00000091631</t>
  </si>
  <si>
    <t>si:ch211-197h24.6 [Source:ZFIN;Acc:ZDB-GENE-030131-1361]</t>
  </si>
  <si>
    <t>si:dkey-23i12.5</t>
  </si>
  <si>
    <t>ENSDARG00000103682</t>
  </si>
  <si>
    <t>si:dkey-23i12.5 [Source:ZFIN;Acc:ZDB-GENE-141222-32]</t>
  </si>
  <si>
    <t>her15.1</t>
  </si>
  <si>
    <t>ENSDARG00000054562</t>
  </si>
  <si>
    <t>hairy and enhancer of split-related 15, tandem duplicate 1 [Source:ZFIN;Acc:ZDB-GENE-030707-2]</t>
  </si>
  <si>
    <t>nip7</t>
  </si>
  <si>
    <t>ENSDARG00000059075</t>
  </si>
  <si>
    <t>NIP7, nucleolar pre-rRNA processing protein [Source:ZFIN;Acc:ZDB-GENE-050522-256]</t>
  </si>
  <si>
    <t>surf6</t>
  </si>
  <si>
    <t>ENSDARG00000035427</t>
  </si>
  <si>
    <t>surfeit 6 [Source:ZFIN;Acc:ZDB-GENE-040426-1333]</t>
  </si>
  <si>
    <t>rb1</t>
  </si>
  <si>
    <t>ENSDARG00000006782</t>
  </si>
  <si>
    <t>retinoblastoma 1 [Source:ZFIN;Acc:ZDB-GENE-040428-1]</t>
  </si>
  <si>
    <t>smn1</t>
  </si>
  <si>
    <t>ENSDARG00000018494</t>
  </si>
  <si>
    <t>survival of motor neuron 1, telomeric [Source:ZFIN;Acc:ZDB-GENE-990715-16]</t>
  </si>
  <si>
    <t>cxcl14</t>
  </si>
  <si>
    <t>ENSDARG00000056627</t>
  </si>
  <si>
    <t>chemokine (C-X-C motif) ligand 14 [Source:ZFIN;Acc:ZDB-GENE-000619-1]</t>
  </si>
  <si>
    <t>pho</t>
  </si>
  <si>
    <t>ENSDARG00000035133</t>
  </si>
  <si>
    <t>phoenix [Source:ZFIN;Acc:ZDB-GENE-030131-5935]</t>
  </si>
  <si>
    <t>ikbkap</t>
  </si>
  <si>
    <t>ENSDARG00000094204</t>
  </si>
  <si>
    <t>inhibitor of kappa light polypeptide gene enhancer in B-cells, kinase complex-associated protein [Source:ZFIN;Acc:ZDB-GENE-071116-7]</t>
  </si>
  <si>
    <t>hmgb3b</t>
  </si>
  <si>
    <t>ENSDARG00000006408</t>
  </si>
  <si>
    <t>high mobility group box 3b [Source:ZFIN;Acc:ZDB-GENE-050417-290]</t>
  </si>
  <si>
    <t>cct3</t>
  </si>
  <si>
    <t>ENSDARG00000016173</t>
  </si>
  <si>
    <t>chaperonin containing TCP1, subunit 3 (gamma) [Source:ZFIN;Acc:ZDB-GENE-020419-5]</t>
  </si>
  <si>
    <t>ncaph2</t>
  </si>
  <si>
    <t>ENSDARG00000033757</t>
  </si>
  <si>
    <t>non-SMC condensin II complex, subunit H2 [Source:ZFIN;Acc:ZDB-GENE-041210-172]</t>
  </si>
  <si>
    <t>hypk</t>
  </si>
  <si>
    <t>ENSDARG00000059725</t>
  </si>
  <si>
    <t>huntingtin interacting protein K [Source:ZFIN;Acc:ZDB-GENE-080515-6]</t>
  </si>
  <si>
    <t>hspd1</t>
  </si>
  <si>
    <t>ENSDARG00000056160</t>
  </si>
  <si>
    <t>heat shock 60 protein 1 [Source:ZFIN;Acc:ZDB-GENE-021206-1]</t>
  </si>
  <si>
    <t>snrpd2</t>
  </si>
  <si>
    <t>ENSDARG00000040440</t>
  </si>
  <si>
    <t>small nuclear ribonucleoprotein D2 polypeptide [Source:ZFIN;Acc:ZDB-GENE-040914-10]</t>
  </si>
  <si>
    <t>WDR77</t>
  </si>
  <si>
    <t>ENSDARG00000101347</t>
  </si>
  <si>
    <t>WD repeat domain 77 [Source:HGNC Symbol;Acc:HGNC:29652]</t>
  </si>
  <si>
    <t>rbmx</t>
  </si>
  <si>
    <t>ENSDARG00000014244</t>
  </si>
  <si>
    <t>RNA binding motif protein, X-linked [Source:ZFIN;Acc:ZDB-GENE-030131-579]</t>
  </si>
  <si>
    <t>pes</t>
  </si>
  <si>
    <t>ENSDARG00000018902</t>
  </si>
  <si>
    <t>pescadillo [Source:ZFIN;Acc:ZDB-GENE-990415-206]</t>
  </si>
  <si>
    <t>srpk1b</t>
  </si>
  <si>
    <t>ENSDARG00000031560</t>
  </si>
  <si>
    <t>SRSF protein kinase 1b [Source:ZFIN;Acc:ZDB-GENE-070112-2292]</t>
  </si>
  <si>
    <t>pprc1</t>
  </si>
  <si>
    <t>ENSDARG00000090337</t>
  </si>
  <si>
    <t>peroxisome proliferator-activated receptor gamma, coactivator-related 1 [Source:ZFIN;Acc:ZDB-GENE-030131-9858]</t>
  </si>
  <si>
    <t>cnbpa</t>
  </si>
  <si>
    <t>ENSDARG00000045776</t>
  </si>
  <si>
    <t>CCHC-type zinc finger, nucleic acid binding protein a [Source:ZFIN;Acc:ZDB-GENE-030131-5045]</t>
  </si>
  <si>
    <t>ncbp2</t>
  </si>
  <si>
    <t>ENSDARG00000014898</t>
  </si>
  <si>
    <t>nuclear cap binding protein subunit 2 [Source:ZFIN;Acc:ZDB-GENE-020419-31]</t>
  </si>
  <si>
    <t>fntb</t>
  </si>
  <si>
    <t>ENSDARG00000027916</t>
  </si>
  <si>
    <t>farnesyltransferase, CAAX box, beta [Source:ZFIN;Acc:ZDB-GENE-030131-2220]</t>
  </si>
  <si>
    <t>cct6a</t>
  </si>
  <si>
    <t>ENSDARG00000021252</t>
  </si>
  <si>
    <t>chaperonin containing TCP1, subunit 6A (zeta 1) [Source:ZFIN;Acc:ZDB-GENE-011018-2]</t>
  </si>
  <si>
    <t>plxna4</t>
  </si>
  <si>
    <t>ENSDARG00000019328</t>
  </si>
  <si>
    <t>plexin A4 [Source:ZFIN;Acc:ZDB-GENE-030131-4663]</t>
  </si>
  <si>
    <t>npm3</t>
  </si>
  <si>
    <t>ENSDARG00000103594</t>
  </si>
  <si>
    <t>nucleophosmin/nucleoplasmin, 3 [Source:ZFIN;Acc:ZDB-GENE-050320-50]</t>
  </si>
  <si>
    <t>rrp1</t>
  </si>
  <si>
    <t>ENSDARG00000103337</t>
  </si>
  <si>
    <t>ribosomal RNA processing 1 [Source:ZFIN;Acc:ZDB-GENE-030131-9837]</t>
  </si>
  <si>
    <t>mbip</t>
  </si>
  <si>
    <t>ENSDARG00000019364</t>
  </si>
  <si>
    <t>MAP3K12 binding inhibitory protein 1 [Source:ZFIN;Acc:ZDB-GENE-060810-43]</t>
  </si>
  <si>
    <t>pms2</t>
  </si>
  <si>
    <t>ENSDARG00000075672</t>
  </si>
  <si>
    <t>PMS1 homolog 2, mismatch repair system component [Source:ZFIN;Acc:ZDB-GENE-030131-686]</t>
  </si>
  <si>
    <t>rnf44</t>
  </si>
  <si>
    <t>ENSDARG00000068582</t>
  </si>
  <si>
    <t>ring finger protein 44 [Source:ZFIN;Acc:ZDB-GENE-060929-604]</t>
  </si>
  <si>
    <t>ddx39aa</t>
  </si>
  <si>
    <t>ENSDARG00000006225</t>
  </si>
  <si>
    <t>DEAD (Asp-Glu-Ala-Asp) box polypeptide 39Aa [Source:ZFIN;Acc:ZDB-GENE-030131-4275]</t>
  </si>
  <si>
    <t>srsf10b</t>
  </si>
  <si>
    <t>ENSDARG00000086411</t>
  </si>
  <si>
    <t>serine/arginine-rich splicing factor 10b [Source:ZFIN;Acc:ZDB-GENE-040426-1415]</t>
  </si>
  <si>
    <t>mrto4</t>
  </si>
  <si>
    <t>ENSDARG00000007130</t>
  </si>
  <si>
    <t>MRT4 homolog, ribosome maturation factor [Source:ZFIN;Acc:ZDB-GENE-050417-142]</t>
  </si>
  <si>
    <t>bysl</t>
  </si>
  <si>
    <t>ENSDARG00000001057</t>
  </si>
  <si>
    <t>bystin-like [Source:ZFIN;Acc:ZDB-GENE-040426-1287]</t>
  </si>
  <si>
    <t>trib3</t>
  </si>
  <si>
    <t>ENSDARG00000016200</t>
  </si>
  <si>
    <t>tribbles pseudokinase 3 [Source:ZFIN;Acc:ZDB-GENE-040426-2609]</t>
  </si>
  <si>
    <t>psmb2</t>
  </si>
  <si>
    <t>ENSDARG00000031511</t>
  </si>
  <si>
    <t>proteasome subunit beta 2 [Source:ZFIN;Acc:ZDB-GENE-040718-353]</t>
  </si>
  <si>
    <t>tmem120a</t>
  </si>
  <si>
    <t>ENSDARG00000030914</t>
  </si>
  <si>
    <t>transmembrane protein 120A [Source:ZFIN;Acc:ZDB-GENE-070424-21]</t>
  </si>
  <si>
    <t>lfng</t>
  </si>
  <si>
    <t>ENSDARG00000037879</t>
  </si>
  <si>
    <t>LFNG O-fucosylpeptide 3-beta-N-acetylglucosaminyltransferase [Source:ZFIN;Acc:ZDB-GENE-980605-16]</t>
  </si>
  <si>
    <t>AC024175.4</t>
  </si>
  <si>
    <t>ENSDARG00000080337</t>
  </si>
  <si>
    <t>lcorl</t>
  </si>
  <si>
    <t>ENSDARG00000070098</t>
  </si>
  <si>
    <t>ligand dependent nuclear receptor corepressor-like [Source:ZFIN;Acc:ZDB-GENE-030131-6300]</t>
  </si>
  <si>
    <t>dcbld1</t>
  </si>
  <si>
    <t>ENSDARG00000015907</t>
  </si>
  <si>
    <t>discoidin, CUB and LCCL domain containing 1 [Source:ZFIN;Acc:ZDB-GENE-050913-77]</t>
  </si>
  <si>
    <t>si:zfos-1451h6.1</t>
  </si>
  <si>
    <t>ENSDARG00000097452</t>
  </si>
  <si>
    <t>si:zfos-1451h6.1 [Source:ZFIN;Acc:ZDB-GENE-131121-245]</t>
  </si>
  <si>
    <t>zgc:153215</t>
  </si>
  <si>
    <t>ENSDARG00000055889</t>
  </si>
  <si>
    <t>zgc:153215 [Source:ZFIN;Acc:ZDB-GENE-061103-58]</t>
  </si>
  <si>
    <t>eif4a1a</t>
  </si>
  <si>
    <t>ENSDARG00000092115</t>
  </si>
  <si>
    <t>eukaryotic translation initiation factor 4A1A [Source:ZFIN;Acc:ZDB-GENE-031030-2]</t>
  </si>
  <si>
    <t>gspt1l</t>
  </si>
  <si>
    <t>ENSDARG00000098627</t>
  </si>
  <si>
    <t>G1 to S phase transition 1, like [Source:ZFIN;Acc:ZDB-GENE-030131-4009]</t>
  </si>
  <si>
    <t>timm10</t>
  </si>
  <si>
    <t>ENSDARG00000069116</t>
  </si>
  <si>
    <t>translocase of inner mitochondrial membrane 10 homolog (yeast) [Source:ZFIN;Acc:ZDB-GENE-040718-427]</t>
  </si>
  <si>
    <t>uba2</t>
  </si>
  <si>
    <t>ENSDARG00000101332</t>
  </si>
  <si>
    <t>ubiquitin-like modifier activating enzyme 2 [Source:ZFIN;Acc:ZDB-GENE-040426-2681]</t>
  </si>
  <si>
    <t>npm1a</t>
  </si>
  <si>
    <t>ENSDARG00000014329</t>
  </si>
  <si>
    <t>nucleophosmin 1a (nucleolar phosphoprotein B23, numatrin) [Source:ZFIN;Acc:ZDB-GENE-021028-1]</t>
  </si>
  <si>
    <t>cdk11b</t>
  </si>
  <si>
    <t>ENSDARG00000102546</t>
  </si>
  <si>
    <t>cyclin-dependent kinase 11B [Source:ZFIN;Acc:ZDB-GENE-041212-74]</t>
  </si>
  <si>
    <t>brd7</t>
  </si>
  <si>
    <t>ENSDARG00000008380</t>
  </si>
  <si>
    <t>bromodomain containing 7 [Source:ZFIN;Acc:ZDB-GENE-040426-2687]</t>
  </si>
  <si>
    <t>eif2s2</t>
  </si>
  <si>
    <t>ENSDARG00000053047</t>
  </si>
  <si>
    <t>eukaryotic translation initiation factor 2, subunit 2 beta [Source:ZFIN;Acc:ZDB-GENE-030131-3085]</t>
  </si>
  <si>
    <t>phf10</t>
  </si>
  <si>
    <t>ENSDARG00000070084</t>
  </si>
  <si>
    <t>PHD finger protein 10 [Source:ZFIN;Acc:ZDB-GENE-040426-1573]</t>
  </si>
  <si>
    <t>tspan1</t>
  </si>
  <si>
    <t>ENSDARG00000052027</t>
  </si>
  <si>
    <t>tetraspanin 1 [Source:ZFIN;Acc:ZDB-GENE-070502-5]</t>
  </si>
  <si>
    <t>tnfsf10</t>
  </si>
  <si>
    <t>ENSDARG00000057241</t>
  </si>
  <si>
    <t>tumor necrosis factor (ligand) superfamily, member 10 [Source:ZFIN;Acc:ZDB-GENE-040718-335]</t>
  </si>
  <si>
    <t>pkhd1l1</t>
  </si>
  <si>
    <t>ENSDARG00000091116</t>
  </si>
  <si>
    <t>polycystic kidney and hepatic disease 1 (autosomal recessive)-like 1 [Source:ZFIN;Acc:ZDB-GENE-060503-475]</t>
  </si>
  <si>
    <t>rgs4</t>
  </si>
  <si>
    <t>ENSDARG00000070047</t>
  </si>
  <si>
    <t>regulator of G-protein signaling 4 [Source:ZFIN;Acc:ZDB-GENE-030131-9839]</t>
  </si>
  <si>
    <t>cts12</t>
  </si>
  <si>
    <t>ENSDARG00000042753</t>
  </si>
  <si>
    <t>cathepsin 12 [Source:ZFIN;Acc:ZDB-GENE-050208-336]</t>
  </si>
  <si>
    <t>crip1</t>
  </si>
  <si>
    <t>ENSDARG00000053858</t>
  </si>
  <si>
    <t>cysteine-rich protein 1 [Source:ZFIN;Acc:ZDB-GENE-041111-1]</t>
  </si>
  <si>
    <t>ponzr6</t>
  </si>
  <si>
    <t>ENSDARG00000036382</t>
  </si>
  <si>
    <t>plac8 onzin related protein 6 [Source:ZFIN;Acc:ZDB-GENE-081104-326]</t>
  </si>
  <si>
    <t>sfrp1a</t>
  </si>
  <si>
    <t>ENSDARG00000035521</t>
  </si>
  <si>
    <t>secreted frizzled-related protein 1a [Source:ZFIN;Acc:ZDB-GENE-040310-5]</t>
  </si>
  <si>
    <t>cldne</t>
  </si>
  <si>
    <t>ENSDARG00000043128</t>
  </si>
  <si>
    <t>claudin e [Source:ZFIN;Acc:ZDB-GENE-010328-5]</t>
  </si>
  <si>
    <t>si:ch73-70c5.2</t>
  </si>
  <si>
    <t>ENSDARG00000097123</t>
  </si>
  <si>
    <t>si:ch73-70c5.2 [Source:ZFIN;Acc:ZDB-GENE-131121-313]</t>
  </si>
  <si>
    <t>crb3b</t>
  </si>
  <si>
    <t>ENSDARG00000068182</t>
  </si>
  <si>
    <t>crumbs homolog 3b [Source:ZFIN;Acc:ZDB-GENE-060610-3]</t>
  </si>
  <si>
    <t>si:ch211-266a5.12</t>
  </si>
  <si>
    <t>ENSDARG00000092714</t>
  </si>
  <si>
    <t>si:ch211-266a5.12 [Source:ZFIN;Acc:ZDB-GENE-081104-210]</t>
  </si>
  <si>
    <t>lye</t>
  </si>
  <si>
    <t>ENSDARG00000100630</t>
  </si>
  <si>
    <t>lymphocyte antigen-6, epidermis [Source:ZFIN;Acc:ZDB-GENE-120104-1]</t>
  </si>
  <si>
    <t>s100a10b</t>
  </si>
  <si>
    <t>ENSDARG00000025254</t>
  </si>
  <si>
    <t>S100 calcium binding protein A10b [Source:ZFIN;Acc:ZDB-GENE-040426-1937]</t>
  </si>
  <si>
    <t>wnt11r</t>
  </si>
  <si>
    <t>ENSDARG00000014796</t>
  </si>
  <si>
    <t>wingless-type MMTV integration site family, member 11, related [Source:ZFIN;Acc:ZDB-GENE-980526-249]</t>
  </si>
  <si>
    <t>mcama</t>
  </si>
  <si>
    <t>ENSDARG00000089643</t>
  </si>
  <si>
    <t>melanoma cell adhesion molecule a [Source:ZFIN;Acc:ZDB-GENE-090218-29]</t>
  </si>
  <si>
    <t>CU929225.1</t>
  </si>
  <si>
    <t>ENSDARG00000060688</t>
  </si>
  <si>
    <t>uncharacterized protein LOC101883816  [Source:RefSeq peptide;Acc:NP_001289175]</t>
  </si>
  <si>
    <t>pknox2</t>
  </si>
  <si>
    <t>ENSDARG00000055349</t>
  </si>
  <si>
    <t>pbx/knotted 1 homeobox 2 [Source:ZFIN;Acc:ZDB-GENE-031118-112]</t>
  </si>
  <si>
    <t>nuak1b</t>
  </si>
  <si>
    <t>ENSDARG00000028676</t>
  </si>
  <si>
    <t>NUAK family, SNF1-like kinase, 1b [Source:ZFIN;Acc:ZDB-GENE-131120-18]</t>
  </si>
  <si>
    <t>MGAT4D</t>
  </si>
  <si>
    <t>ENSDARG00000099923</t>
  </si>
  <si>
    <t>zgc:154054 [Source:ZFIN;Acc:ZDB-GENE-061103-283]</t>
  </si>
  <si>
    <t>tmem119b</t>
  </si>
  <si>
    <t>ENSDARG00000068036</t>
  </si>
  <si>
    <t>transmembrane protein 119b [Source:ZFIN;Acc:ZDB-GENE-070410-49]</t>
  </si>
  <si>
    <t>plk3</t>
  </si>
  <si>
    <t>ENSDARG00000038754</t>
  </si>
  <si>
    <t>polo-like kinase 3 (Drosophila) [Source:ZFIN;Acc:ZDB-GENE-030131-6134]</t>
  </si>
  <si>
    <t>gprc6a</t>
  </si>
  <si>
    <t>ENSDARG00000005371</t>
  </si>
  <si>
    <t>G protein-coupled receptor, class C, group 6, member A [Source:ZFIN;Acc:ZDB-GENE-041217-22]</t>
  </si>
  <si>
    <t>si:ch73-95l15.5</t>
  </si>
  <si>
    <t>ENSDARG00000087596</t>
  </si>
  <si>
    <t>si:ch73-95l15.5 [Source:ZFIN;Acc:ZDB-GENE-030131-3481]</t>
  </si>
  <si>
    <t>spock2</t>
  </si>
  <si>
    <t>ENSDARG00000075393</t>
  </si>
  <si>
    <t>sparc/osteonectin, cwcv and kazal-like domains proteoglycan (testican) 2 [Source:ZFIN;Acc:ZDB-GENE-090312-170]</t>
  </si>
  <si>
    <t>tnfb</t>
  </si>
  <si>
    <t>ENSDARG00000013598</t>
  </si>
  <si>
    <t>tumor necrosis factor b (TNF superfamily, member 2) [Source:ZFIN;Acc:ZDB-GENE-050601-2]</t>
  </si>
  <si>
    <t>ponzr1</t>
  </si>
  <si>
    <t>ENSDARG00000090444</t>
  </si>
  <si>
    <t>plac8 onzin related protein 1 [Source:ZFIN;Acc:ZDB-GENE-070727-1]</t>
  </si>
  <si>
    <t>epb41a</t>
  </si>
  <si>
    <t>ENSDARG00000099283</t>
  </si>
  <si>
    <t>erythrocyte membrane protein band 4.1a [Source:ZFIN;Acc:ZDB-GENE-070705-81]</t>
  </si>
  <si>
    <t>zgc:101663</t>
  </si>
  <si>
    <t>ENSDARG00000037852</t>
  </si>
  <si>
    <t>zgc:101663 [Source:ZFIN;Acc:ZDB-GENE-041114-149]</t>
  </si>
  <si>
    <t>ankrd1a</t>
  </si>
  <si>
    <t>ENSDARG00000075263</t>
  </si>
  <si>
    <t>ankyrin repeat domain 1a (cardiac muscle) [Source:ZFIN;Acc:ZDB-GENE-100405-1]</t>
  </si>
  <si>
    <t>sulf1</t>
  </si>
  <si>
    <t>ENSDARG00000038428</t>
  </si>
  <si>
    <t>sulfatase 1 [Source:ZFIN;Acc:ZDB-GENE-030131-9242]</t>
  </si>
  <si>
    <t>map7d3</t>
  </si>
  <si>
    <t>ENSDARG00000060771</t>
  </si>
  <si>
    <t>MAP7 domain containing 3 [Source:ZFIN;Acc:ZDB-GENE-121129-3]</t>
  </si>
  <si>
    <t>ovgp1</t>
  </si>
  <si>
    <t>ENSDARG00000075745</t>
  </si>
  <si>
    <t>oviductal glycoprotein 1 [Source:ZFIN;Acc:ZDB-GENE-140106-118]</t>
  </si>
  <si>
    <t>CABZ01080371.1</t>
  </si>
  <si>
    <t>ENSDARG00000098104</t>
  </si>
  <si>
    <t>fndc7rs4</t>
  </si>
  <si>
    <t>ENSDARG00000092813</t>
  </si>
  <si>
    <t>fibronectin type III domain containing 7, related sequence 4 [Source:ZFIN;Acc:ZDB-GENE-070912-648]</t>
  </si>
  <si>
    <t>stat3</t>
  </si>
  <si>
    <t>ENSDARG00000022712</t>
  </si>
  <si>
    <t>signal transducer and activator of transcription 3 (acute-phase response factor) [Source:ZFIN;Acc:ZDB-GENE-980526-68]</t>
  </si>
  <si>
    <t>si:dkeyp-104f11.9</t>
  </si>
  <si>
    <t>ENSDARG00000096715</t>
  </si>
  <si>
    <t>si:dkeyp-104f11.9 [Source:ZFIN;Acc:ZDB-GENE-130603-41]</t>
  </si>
  <si>
    <t>copz2</t>
  </si>
  <si>
    <t>ENSDARG00000006786</t>
  </si>
  <si>
    <t>coatomer protein complex, subunit zeta 2 [Source:ZFIN;Acc:ZDB-GENE-000406-5]</t>
  </si>
  <si>
    <t>zgc:123068</t>
  </si>
  <si>
    <t>ENSDARG00000017489</t>
  </si>
  <si>
    <t>zgc:123068 [Source:ZFIN;Acc:ZDB-GENE-051030-98]</t>
  </si>
  <si>
    <t>frem2b.1</t>
  </si>
  <si>
    <t>ENSDARG00000102626</t>
  </si>
  <si>
    <t>frem2b</t>
  </si>
  <si>
    <t>Fras1 related extracellular matrix protein 2b [Source:ZFIN;Acc:ZDB-GENE-081119-4]</t>
  </si>
  <si>
    <t>filip1l</t>
  </si>
  <si>
    <t>ENSDARG00000037910</t>
  </si>
  <si>
    <t>filamin A interacting protein 1-like [Source:ZFIN;Acc:ZDB-GENE-070410-7]</t>
  </si>
  <si>
    <t>mmp14a</t>
  </si>
  <si>
    <t>ENSDARG00000002235</t>
  </si>
  <si>
    <t>matrix metallopeptidase 14a (membrane-inserted) [Source:ZFIN;Acc:ZDB-GENE-030901-1]</t>
  </si>
  <si>
    <t>bach2b</t>
  </si>
  <si>
    <t>ENSDARG00000004074</t>
  </si>
  <si>
    <t>BTB and CNC homology 1, basic leucine zipper transcription factor 2b [Source:ZFIN;Acc:ZDB-GENE-041001-139]</t>
  </si>
  <si>
    <t>VPS37D</t>
  </si>
  <si>
    <t>ENSDARG00000097055</t>
  </si>
  <si>
    <t>si:ch211-284f22.3 [Source:ZFIN;Acc:ZDB-GENE-060526-166]</t>
  </si>
  <si>
    <t>ddah2</t>
  </si>
  <si>
    <t>ENSDARG00000105009</t>
  </si>
  <si>
    <t>dimethylarginine dimethylaminohydrolase 2 [Source:ZFIN;Acc:ZDB-GENE-030131-913]</t>
  </si>
  <si>
    <t>eif4ebp3</t>
  </si>
  <si>
    <t>ENSDARG00000054916</t>
  </si>
  <si>
    <t>eukaryotic translation initiation factor 4E binding protein 3 [Source:ZFIN;Acc:ZDB-GENE-041114-44]</t>
  </si>
  <si>
    <t>arg2</t>
  </si>
  <si>
    <t>ENSDARG00000039269</t>
  </si>
  <si>
    <t>arginase 2 [Source:ZFIN;Acc:ZDB-GENE-030131-1334]</t>
  </si>
  <si>
    <t>capn9</t>
  </si>
  <si>
    <t>ENSDARG00000012341</t>
  </si>
  <si>
    <t>calpain 9 [Source:ZFIN;Acc:ZDB-GENE-010724-2]</t>
  </si>
  <si>
    <t>kctd1</t>
  </si>
  <si>
    <t>ENSDARG00000074056</t>
  </si>
  <si>
    <t>potassium channel tetramerization domain containing 1 [Source:ZFIN;Acc:ZDB-GENE-040724-194]</t>
  </si>
  <si>
    <t>fermt1</t>
  </si>
  <si>
    <t>ENSDARG00000052652</t>
  </si>
  <si>
    <t>fermitin family member 1 [Source:ZFIN;Acc:ZDB-GENE-030131-3264]</t>
  </si>
  <si>
    <t>ppdpfa</t>
  </si>
  <si>
    <t>ENSDARG00000007682</t>
  </si>
  <si>
    <t>pancreatic progenitor cell differentiation and proliferation factor a [Source:ZFIN;Acc:ZDB-GENE-030219-204]</t>
  </si>
  <si>
    <t>rnf183.1</t>
  </si>
  <si>
    <t>ENSDARG00000068851</t>
  </si>
  <si>
    <t>rnf183</t>
  </si>
  <si>
    <t>ring finger protein 183 [Source:ZFIN;Acc:ZDB-GENE-060929-1090]</t>
  </si>
  <si>
    <t>ripk4</t>
  </si>
  <si>
    <t>ENSDARG00000043211</t>
  </si>
  <si>
    <t>receptor-interacting serine-threonine kinase 4 [Source:ZFIN;Acc:ZDB-GENE-040426-2042]</t>
  </si>
  <si>
    <t>ccng2</t>
  </si>
  <si>
    <t>ENSDARG00000017602</t>
  </si>
  <si>
    <t>cyclin G2 [Source:ZFIN;Acc:ZDB-GENE-021016-1]</t>
  </si>
  <si>
    <t>zgc:153317</t>
  </si>
  <si>
    <t>ENSDARG00000092903</t>
  </si>
  <si>
    <t>zgc:153317 [Source:ZFIN;Acc:ZDB-GENE-060825-309]</t>
  </si>
  <si>
    <t>tnnt2b</t>
  </si>
  <si>
    <t>ENSDARG00000100694</t>
  </si>
  <si>
    <t>troponin T type 2b (cardiac) [Source:ZFIN;Acc:ZDB-GENE-091106-2]</t>
  </si>
  <si>
    <t>her6</t>
  </si>
  <si>
    <t>ENSDARG00000006514</t>
  </si>
  <si>
    <t>hairy-related 6 [Source:ZFIN;Acc:ZDB-GENE-980526-144]</t>
  </si>
  <si>
    <t>tax1bp3</t>
  </si>
  <si>
    <t>ENSDARG00000059177</t>
  </si>
  <si>
    <t>Tax1 (human T-cell leukemia virus type I) binding protein 3 [Source:ZFIN;Acc:ZDB-GENE-040426-2830]</t>
  </si>
  <si>
    <t>arhgap6</t>
  </si>
  <si>
    <t>ENSDARG00000059672</t>
  </si>
  <si>
    <t>Rho GTPase activating protein 6 [Source:ZFIN;Acc:ZDB-GENE-060616-298]</t>
  </si>
  <si>
    <t>jdp2b</t>
  </si>
  <si>
    <t>ENSDARG00000020133</t>
  </si>
  <si>
    <t>Jun dimerization protein 2b [Source:ZFIN;Acc:ZDB-GENE-040718-197]</t>
  </si>
  <si>
    <t>sepp1a</t>
  </si>
  <si>
    <t>ENSDARG00000093549</t>
  </si>
  <si>
    <t>selenoprotein P, plasma, 1a [Source:ZFIN;Acc:ZDB-GENE-030311-1]</t>
  </si>
  <si>
    <t>ahnak</t>
  </si>
  <si>
    <t>ENSDARG00000061764</t>
  </si>
  <si>
    <t>AHNAK nucleoprotein [Source:ZFIN;Acc:ZDB-GENE-030131-8719]</t>
  </si>
  <si>
    <t>si:ch211-105c13.3</t>
  </si>
  <si>
    <t>ENSDARG00000089441</t>
  </si>
  <si>
    <t>si:ch211-105c13.3 [Source:ZFIN;Acc:ZDB-GENE-030131-4483]</t>
  </si>
  <si>
    <t>myo18aa</t>
  </si>
  <si>
    <t>ENSDARG00000075752</t>
  </si>
  <si>
    <t>myosin XVIIIAa [Source:ZFIN;Acc:ZDB-GENE-080425-5]</t>
  </si>
  <si>
    <t>si:dkey-112a7.4</t>
  </si>
  <si>
    <t>ENSDARG00000104636</t>
  </si>
  <si>
    <t>si:dkey-112a7.4 [Source:ZFIN;Acc:ZDB-GENE-030131-9661]</t>
  </si>
  <si>
    <t>eno1b</t>
  </si>
  <si>
    <t>ENSDARG00000013750</t>
  </si>
  <si>
    <t>enolase 1b, (alpha) [Source:ZFIN;Acc:ZDB-GENE-040426-1651]</t>
  </si>
  <si>
    <t>atp1a1b</t>
  </si>
  <si>
    <t>ENSDARG00000019856</t>
  </si>
  <si>
    <t>ATPase, Na+/K+ transporting, alpha 1b polypeptide [Source:ZFIN;Acc:ZDB-GENE-001212-5]</t>
  </si>
  <si>
    <t>inhbaa</t>
  </si>
  <si>
    <t>ENSDARG00000012671</t>
  </si>
  <si>
    <t>inhibin, beta Aa [Source:ZFIN;Acc:ZDB-GENE-000210-21]</t>
  </si>
  <si>
    <t>fat1b</t>
  </si>
  <si>
    <t>ENSDARG00000019063</t>
  </si>
  <si>
    <t>FAT atypical cadherin 1b [Source:ZFIN;Acc:ZDB-GENE-130530-563]</t>
  </si>
  <si>
    <t>wu:fb18f06</t>
  </si>
  <si>
    <t>ENSDARG00000097635</t>
  </si>
  <si>
    <t>wu:fb18f06 [Source:ZFIN;Acc:ZDB-GENE-030131-261]</t>
  </si>
  <si>
    <t>fut8a</t>
  </si>
  <si>
    <t>ENSDARG00000015449</t>
  </si>
  <si>
    <t>fucosyltransferase 8a (alpha (1,6) fucosyltransferase) [Source:ZFIN;Acc:ZDB-GENE-031118-20]</t>
  </si>
  <si>
    <t>zgc:112437</t>
  </si>
  <si>
    <t>ENSDARG00000009215</t>
  </si>
  <si>
    <t>zgc:112437 [Source:ZFIN;Acc:ZDB-GENE-050417-293]</t>
  </si>
  <si>
    <t>ctss2.2</t>
  </si>
  <si>
    <t>ENSDARG00000013771</t>
  </si>
  <si>
    <t>cathepsin S, ortholog 2, tandem duplicate 2 [Source:ZFIN;Acc:ZDB-GENE-050626-55]</t>
  </si>
  <si>
    <t>AL954146.1</t>
  </si>
  <si>
    <t>ENSDARG00000038891</t>
  </si>
  <si>
    <t>edn1</t>
  </si>
  <si>
    <t>ENSDARG00000036912</t>
  </si>
  <si>
    <t>endothelin 1 [Source:ZFIN;Acc:ZDB-GENE-000920-1]</t>
  </si>
  <si>
    <t>si:ch211-79l17.1</t>
  </si>
  <si>
    <t>ENSDARG00000105288</t>
  </si>
  <si>
    <t>si:ch211-79l17.1 [Source:ZFIN;Acc:ZDB-GENE-050419-127]</t>
  </si>
  <si>
    <t>crip2</t>
  </si>
  <si>
    <t>ENSDARG00000070670</t>
  </si>
  <si>
    <t>cysteine-rich protein 2 [Source:ZFIN;Acc:ZDB-GENE-040426-2889]</t>
  </si>
  <si>
    <t>fat2</t>
  </si>
  <si>
    <t>ENSDARG00000018923</t>
  </si>
  <si>
    <t>FAT atypical cadherin 2 [Source:ZFIN;Acc:ZDB-GENE-111031-1]</t>
  </si>
  <si>
    <t>CABZ01067232.1</t>
  </si>
  <si>
    <t>ENSDARG00000057408</t>
  </si>
  <si>
    <t>igsf9a</t>
  </si>
  <si>
    <t>ENSDARG00000075864</t>
  </si>
  <si>
    <t>immunoglobulin superfamily, member 9a [Source:ZFIN;Acc:ZDB-GENE-060503-288]</t>
  </si>
  <si>
    <t>isl1</t>
  </si>
  <si>
    <t>ENSDARG00000004023</t>
  </si>
  <si>
    <t>ISL LIM homeobox 1 [Source:ZFIN;Acc:ZDB-GENE-980526-112]</t>
  </si>
  <si>
    <t>zgc:165423</t>
  </si>
  <si>
    <t>ENSDARG00000052905</t>
  </si>
  <si>
    <t>zgc:165423 [Source:ZFIN;Acc:ZDB-GENE-070720-11]</t>
  </si>
  <si>
    <t>ebf3a</t>
  </si>
  <si>
    <t>ENSDARG00000100244</t>
  </si>
  <si>
    <t>early B-cell factor 3a [Source:ZFIN;Acc:ZDB-GENE-070112-292]</t>
  </si>
  <si>
    <t>mb</t>
  </si>
  <si>
    <t>ENSDARG00000031952</t>
  </si>
  <si>
    <t>myoglobin [Source:ZFIN;Acc:ZDB-GENE-040426-1430]</t>
  </si>
  <si>
    <t>si:ch73-380n15.2</t>
  </si>
  <si>
    <t>ENSDARG00000087224</t>
  </si>
  <si>
    <t>si:ch73-380n15.2 [Source:ZFIN;Acc:ZDB-GENE-090313-161]</t>
  </si>
  <si>
    <t>krt18</t>
  </si>
  <si>
    <t>ENSDARG00000018404</t>
  </si>
  <si>
    <t>keratin 18 [Source:ZFIN;Acc:ZDB-GENE-030411-6]</t>
  </si>
  <si>
    <t>crabp2a</t>
  </si>
  <si>
    <t>ENSDARG00000073978</t>
  </si>
  <si>
    <t>cellular retinoic acid binding protein 2, a [Source:ZFIN;Acc:ZDB-GENE-020320-4]</t>
  </si>
  <si>
    <t>glula</t>
  </si>
  <si>
    <t>ENSDARG00000099776</t>
  </si>
  <si>
    <t>glutamate-ammonia ligase (glutamine synthase) a [Source:ZFIN;Acc:ZDB-GENE-030131-688]</t>
  </si>
  <si>
    <t>hbegfb</t>
  </si>
  <si>
    <t>ENSDARG00000031246</t>
  </si>
  <si>
    <t>heparin-binding EGF-like growth factor b [Source:ZFIN;Acc:ZDB-GENE-070820-6]</t>
  </si>
  <si>
    <t>kitlga</t>
  </si>
  <si>
    <t>ENSDARG00000070917</t>
  </si>
  <si>
    <t>kit ligand a [Source:ZFIN;Acc:ZDB-GENE-070424-1]</t>
  </si>
  <si>
    <t>abcg4b</t>
  </si>
  <si>
    <t>ENSDARG00000078068</t>
  </si>
  <si>
    <t>ATP-binding cassette, sub-family G (WHITE), member 4b [Source:ZFIN;Acc:ZDB-GENE-080215-10]</t>
  </si>
  <si>
    <t>fabp7a</t>
  </si>
  <si>
    <t>ENSDARG00000007697</t>
  </si>
  <si>
    <t>fatty acid binding protein 7, brain, a [Source:ZFIN;Acc:ZDB-GENE-000627-1]</t>
  </si>
  <si>
    <t>si:ch211-71m22.1</t>
  </si>
  <si>
    <t>ENSDARG00000058638</t>
  </si>
  <si>
    <t>si:ch211-71m22.1 [Source:ZFIN;Acc:ZDB-GENE-070705-193]</t>
  </si>
  <si>
    <t>si:ch73-199e17.1</t>
  </si>
  <si>
    <t>ENSDARG00000094466</t>
  </si>
  <si>
    <t>si:ch73-199e17.1 [Source:ZFIN;Acc:ZDB-GENE-100921-8]</t>
  </si>
  <si>
    <t>prss23</t>
  </si>
  <si>
    <t>ENSDARG00000055786</t>
  </si>
  <si>
    <t>protease, serine, 23 [Source:ZFIN;Acc:ZDB-GENE-030131-9149]</t>
  </si>
  <si>
    <t>rdh10a</t>
  </si>
  <si>
    <t>ENSDARG00000058730</t>
  </si>
  <si>
    <t>retinol dehydrogenase 10a [Source:ZFIN;Acc:ZDB-GENE-070112-2242]</t>
  </si>
  <si>
    <t>gata2a</t>
  </si>
  <si>
    <t>ENSDARG00000059327</t>
  </si>
  <si>
    <t>GATA binding protein 2a [Source:ZFIN;Acc:ZDB-GENE-980526-260]</t>
  </si>
  <si>
    <t>palm1a</t>
  </si>
  <si>
    <t>ENSDARG00000026882</t>
  </si>
  <si>
    <t>paralemmin 1a [Source:ZFIN;Acc:ZDB-GENE-050417-409]</t>
  </si>
  <si>
    <t>si:rp71-77l1.1</t>
  </si>
  <si>
    <t>ENSDARG00000097746</t>
  </si>
  <si>
    <t>si:rp71-77l1.1 [Source:ZFIN;Acc:ZDB-GENE-131121-141]</t>
  </si>
  <si>
    <t>soul5</t>
  </si>
  <si>
    <t>ENSDARG00000075015</t>
  </si>
  <si>
    <t>heme-binding protein soul5 [Source:ZFIN;Acc:ZDB-GENE-110718-2]</t>
  </si>
  <si>
    <t>igfbp5a</t>
  </si>
  <si>
    <t>ENSDARG00000039264</t>
  </si>
  <si>
    <t>insulin-like growth factor binding protein 5a [Source:ZFIN;Acc:ZDB-GENE-070620-8]</t>
  </si>
  <si>
    <t>cxcl20</t>
  </si>
  <si>
    <t>ENSDARG00000075163</t>
  </si>
  <si>
    <t>chemokine (C-X-C motif) ligand 20 [Source:ZFIN;Acc:ZDB-GENE-111004-2]</t>
  </si>
  <si>
    <t>dhrs3a</t>
  </si>
  <si>
    <t>ENSDARG00000044982</t>
  </si>
  <si>
    <t>dehydrogenase/reductase (SDR family) member 3a [Source:ZFIN;Acc:ZDB-GENE-040801-217]</t>
  </si>
  <si>
    <t>bik</t>
  </si>
  <si>
    <t>ENSDARG00000045549</t>
  </si>
  <si>
    <t>BCL2-interacting killer (apoptosis-inducing) [Source:ZFIN;Acc:ZDB-GENE-041210-181]</t>
  </si>
  <si>
    <t>ccl20a.3</t>
  </si>
  <si>
    <t>ENSDARG00000101040</t>
  </si>
  <si>
    <t>chemokine (C-C motif) ligand 20a, duplicate 3 [Source:ZFIN;Acc:ZDB-GENE-081022-193]</t>
  </si>
  <si>
    <t>foxq1a</t>
  </si>
  <si>
    <t>ENSDARG00000030896</t>
  </si>
  <si>
    <t>forkhead box Q1a [Source:ZFIN;Acc:ZDB-GENE-070424-74]</t>
  </si>
  <si>
    <t>rgcc</t>
  </si>
  <si>
    <t>ENSDARG00000035810</t>
  </si>
  <si>
    <t>regulator of cell cycle [Source:ZFIN;Acc:ZDB-GENE-040704-31]</t>
  </si>
  <si>
    <t>cd109</t>
  </si>
  <si>
    <t>ENSDARG00000060609</t>
  </si>
  <si>
    <t>CD109 molecule [Source:ZFIN;Acc:ZDB-GENE-120215-253]</t>
  </si>
  <si>
    <t>mfng</t>
  </si>
  <si>
    <t>ENSDARG00000042925</t>
  </si>
  <si>
    <t>MFNG O-fucosylpeptide 3-beta-N-acetylglucosaminyltransferase [Source:ZFIN;Acc:ZDB-GENE-041130-1]</t>
  </si>
  <si>
    <t>itgb4</t>
  </si>
  <si>
    <t>ENSDARG00000028507</t>
  </si>
  <si>
    <t>integrin, beta 4 [Source:ZFIN;Acc:ZDB-GENE-030131-7209]</t>
  </si>
  <si>
    <t>krt92</t>
  </si>
  <si>
    <t>ENSDARG00000036834</t>
  </si>
  <si>
    <t>keratin 92 [Source:ZFIN;Acc:ZDB-GENE-050417-363]</t>
  </si>
  <si>
    <t>porb</t>
  </si>
  <si>
    <t>ENSDARG00000059035</t>
  </si>
  <si>
    <t>P450 (cytochrome) oxidoreductase b [Source:ZFIN;Acc:ZDB-GENE-030131-5767]</t>
  </si>
  <si>
    <t>sepw2b</t>
  </si>
  <si>
    <t>ENSDARG00000089936</t>
  </si>
  <si>
    <t>selenoprotein W, 2b [Source:ZFIN;Acc:ZDB-GENE-030428-2]</t>
  </si>
  <si>
    <t>zgc:92242</t>
  </si>
  <si>
    <t>ENSDARG00000029443</t>
  </si>
  <si>
    <t>zgc:92242 [Source:ZFIN;Acc:ZDB-GENE-040718-371]</t>
  </si>
  <si>
    <t>proca1</t>
  </si>
  <si>
    <t>ENSDARG00000069823</t>
  </si>
  <si>
    <t>protein interacting with cyclin A1 [Source:ZFIN;Acc:ZDB-GENE-110418-1]</t>
  </si>
  <si>
    <t>pmaip1</t>
  </si>
  <si>
    <t>ENSDARG00000089307</t>
  </si>
  <si>
    <t>phorbol-12-myristate-13-acetate-induced protein 1 [Source:ZFIN;Acc:ZDB-GENE-070119-3]</t>
  </si>
  <si>
    <t>klf2b</t>
  </si>
  <si>
    <t>ENSDARG00000040432</t>
  </si>
  <si>
    <t>Kruppel-like factor 2b [Source:ZFIN;Acc:ZDB-GENE-011109-2]</t>
  </si>
  <si>
    <t>BX649497.2</t>
  </si>
  <si>
    <t>ENSDARG00000099359</t>
  </si>
  <si>
    <t>pdzd3a</t>
  </si>
  <si>
    <t>ENSDARG00000040568</t>
  </si>
  <si>
    <t>PDZ domain containing 3a [Source:ZFIN;Acc:ZDB-GENE-080430-1]</t>
  </si>
  <si>
    <t>arrdc3a</t>
  </si>
  <si>
    <t>ENSDARG00000052690</t>
  </si>
  <si>
    <t>arrestin domain containing 3a [Source:ZFIN;Acc:ZDB-GENE-030131-2913]</t>
  </si>
  <si>
    <t>gata2b</t>
  </si>
  <si>
    <t>ENSDARG00000009094</t>
  </si>
  <si>
    <t>GATA binding protein 2b [Source:ZFIN;Acc:ZDB-GENE-040718-440]</t>
  </si>
  <si>
    <t>entpd1</t>
  </si>
  <si>
    <t>ENSDARG00000045066</t>
  </si>
  <si>
    <t>ectonucleoside triphosphate diphosphohydrolase 1 [Source:ZFIN;Acc:ZDB-GENE-040801-58]</t>
  </si>
  <si>
    <t>aplnra</t>
  </si>
  <si>
    <t>ENSDARG00000002172</t>
  </si>
  <si>
    <t>apelin receptor a [Source:ZFIN;Acc:ZDB-GENE-060929-512]</t>
  </si>
  <si>
    <t>dkk2</t>
  </si>
  <si>
    <t>ENSDARG00000076420</t>
  </si>
  <si>
    <t>dickkopf WNT signaling pathway inhibitor 2 [Source:ZFIN;Acc:ZDB-GENE-080204-14]</t>
  </si>
  <si>
    <t>si:dkeyp-86h10.3</t>
  </si>
  <si>
    <t>ENSDARG00000095615</t>
  </si>
  <si>
    <t>si:dkeyp-86h10.3 [Source:ZFIN;Acc:ZDB-GENE-100922-65]</t>
  </si>
  <si>
    <t>lima1a</t>
  </si>
  <si>
    <t>ENSDARG00000101441</t>
  </si>
  <si>
    <t>LIM domain and actin binding 1a [Source:ZFIN;Acc:ZDB-GENE-001120-1]</t>
  </si>
  <si>
    <t>vegfab</t>
  </si>
  <si>
    <t>ENSDARG00000034700</t>
  </si>
  <si>
    <t>vascular endothelial growth factor Ab [Source:ZFIN;Acc:ZDB-GENE-030131-4605]</t>
  </si>
  <si>
    <t>fgf3</t>
  </si>
  <si>
    <t>ENSDARG00000101540</t>
  </si>
  <si>
    <t>fibroblast growth factor 3 [Source:ZFIN;Acc:ZDB-GENE-980526-178]</t>
  </si>
  <si>
    <t>si:ch1073-488c15.2</t>
  </si>
  <si>
    <t>ENSDARG00000097844</t>
  </si>
  <si>
    <t>si:ch1073-488c15.2 [Source:ZFIN;Acc:ZDB-GENE-131119-66]</t>
  </si>
  <si>
    <t>prox1a</t>
  </si>
  <si>
    <t>ENSDARG00000055158</t>
  </si>
  <si>
    <t>prospero homeobox 1a [Source:ZFIN;Acc:ZDB-GENE-980526-397]</t>
  </si>
  <si>
    <t>si:dkey-188i13.6</t>
  </si>
  <si>
    <t>ENSDARG00000074217</t>
  </si>
  <si>
    <t>si:dkey-188i13.6 [Source:ZFIN;Acc:ZDB-GENE-030131-7410]</t>
  </si>
  <si>
    <t>zgc:92630</t>
  </si>
  <si>
    <t>ENSDARG00000004141</t>
  </si>
  <si>
    <t>zgc:92630 [Source:ZFIN;Acc:ZDB-GENE-040718-449]</t>
  </si>
  <si>
    <t>hey2</t>
  </si>
  <si>
    <t>ENSDARG00000013441</t>
  </si>
  <si>
    <t>hes-related family bHLH transcription factor with YRPW motif 2 [Source:ZFIN;Acc:ZDB-GENE-000526-1]</t>
  </si>
  <si>
    <t>ptprz1a</t>
  </si>
  <si>
    <t>ENSDARG00000051814</t>
  </si>
  <si>
    <t>protein tyrosine phosphatase, receptor-type, Z polypeptide 1a [Source:ZFIN;Acc:ZDB-GENE-090406-1]</t>
  </si>
  <si>
    <t>fhdc2</t>
  </si>
  <si>
    <t>ENSDARG00000099767</t>
  </si>
  <si>
    <t>FH2 domain containing 2 [Source:ZFIN;Acc:ZDB-GENE-091118-76]</t>
  </si>
  <si>
    <t>fkbp1b</t>
  </si>
  <si>
    <t>ENSDARG00000052625</t>
  </si>
  <si>
    <t>FK506 binding protein 1b [Source:ZFIN;Acc:ZDB-GENE-040426-1785]</t>
  </si>
  <si>
    <t>metrn</t>
  </si>
  <si>
    <t>ENSDARG00000030367</t>
  </si>
  <si>
    <t>meteorin, glial cell differentiation regulator [Source:ZFIN;Acc:ZDB-GENE-050102-1]</t>
  </si>
  <si>
    <t>arhgap10</t>
  </si>
  <si>
    <t>ENSDARG00000078326</t>
  </si>
  <si>
    <t>Rho GTPase activating protein 10 [Source:ZFIN;Acc:ZDB-GENE-060512-221]</t>
  </si>
  <si>
    <t>FCGBP</t>
  </si>
  <si>
    <t>ENSDARG00000098278</t>
  </si>
  <si>
    <t>Fc fragment of IgG binding protein [Source:HGNC Symbol;Acc:HGNC:13572]</t>
  </si>
  <si>
    <t>pcdh19</t>
  </si>
  <si>
    <t>ENSDARG00000034344</t>
  </si>
  <si>
    <t>protocadherin 19 [Source:ZFIN;Acc:ZDB-GENE-030131-4218]</t>
  </si>
  <si>
    <t>amer2</t>
  </si>
  <si>
    <t>ENSDARG00000075222</t>
  </si>
  <si>
    <t>APC membrane recruitment protein 2 [Source:ZFIN;Acc:ZDB-GENE-070719-5]</t>
  </si>
  <si>
    <t>ccl19a.1</t>
  </si>
  <si>
    <t>ENSDARG00000058389</t>
  </si>
  <si>
    <t>chemokine (C-C motif) ligand 19a, tandem duplicate 1 [Source:ZFIN;Acc:ZDB-GENE-060526-181]</t>
  </si>
  <si>
    <t>clstn1</t>
  </si>
  <si>
    <t>ENSDARG00000031720</t>
  </si>
  <si>
    <t>calsyntenin 1 [Source:ZFIN;Acc:ZDB-GENE-040426-1064]</t>
  </si>
  <si>
    <t>tdh</t>
  </si>
  <si>
    <t>ENSDARG00000002745</t>
  </si>
  <si>
    <t>L-threonine dehydrogenase [Source:ZFIN;Acc:ZDB-GENE-040426-2379]</t>
  </si>
  <si>
    <t>si:ch73-347e22.8</t>
  </si>
  <si>
    <t>ENSDARG00000103322</t>
  </si>
  <si>
    <t>si:ch73-347e22.8 [Source:ZFIN;Acc:ZDB-GENE-030131-8455]</t>
  </si>
  <si>
    <t>cbln18</t>
  </si>
  <si>
    <t>ENSDARG00000090969</t>
  </si>
  <si>
    <t>cerebellin 18 [Source:ZFIN;Acc:ZDB-GENE-111109-3]</t>
  </si>
  <si>
    <t>ivns1abpa</t>
  </si>
  <si>
    <t>ENSDARG00000031100</t>
  </si>
  <si>
    <t>influenza virus NS1A binding protein a [Source:ZFIN;Acc:ZDB-GENE-031222-2]</t>
  </si>
  <si>
    <t>efhd1</t>
  </si>
  <si>
    <t>ENSDARG00000043446</t>
  </si>
  <si>
    <t>EF-hand domain family, member D1 [Source:ZFIN;Acc:ZDB-GENE-030131-7461]</t>
  </si>
  <si>
    <t>cd81a</t>
  </si>
  <si>
    <t>ENSDARG00000036080</t>
  </si>
  <si>
    <t>CD81 molecule a [Source:ZFIN;Acc:ZDB-GENE-000831-5]</t>
  </si>
  <si>
    <t>zgc:153981</t>
  </si>
  <si>
    <t>ENSDARG00000069529</t>
  </si>
  <si>
    <t>zgc:153981 [Source:ZFIN;Acc:ZDB-GENE-061103-367]</t>
  </si>
  <si>
    <t>CABZ01058646.1</t>
  </si>
  <si>
    <t>ENSDARG00000091236</t>
  </si>
  <si>
    <t>il13ra2</t>
  </si>
  <si>
    <t>ENSDARG00000039436</t>
  </si>
  <si>
    <t>interleukin 13 receptor, alpha 2 [Source:ZFIN;Acc:ZDB-GENE-030521-10]</t>
  </si>
  <si>
    <t>elovl7a</t>
  </si>
  <si>
    <t>ENSDARG00000069279</t>
  </si>
  <si>
    <t>ELOVL fatty acid elongase 7a [Source:ZFIN;Acc:ZDB-GENE-030131-6149]</t>
  </si>
  <si>
    <t>igfbp1a</t>
  </si>
  <si>
    <t>ENSDARG00000099351</t>
  </si>
  <si>
    <t>insulin-like growth factor binding protein 1a [Source:ZFIN;Acc:ZDB-GENE-021231-1]</t>
  </si>
  <si>
    <t>cebpd</t>
  </si>
  <si>
    <t>ENSDARG00000087303</t>
  </si>
  <si>
    <t>CCAAT/enhancer binding protein (C/EBP), delta [Source:ZFIN;Acc:ZDB-GENE-020111-4]</t>
  </si>
  <si>
    <t>zgc:101744</t>
  </si>
  <si>
    <t>ENSDARG00000038694</t>
  </si>
  <si>
    <t>zgc:101744 [Source:ZFIN;Acc:ZDB-GENE-050320-111]</t>
  </si>
  <si>
    <t>nr4a1</t>
  </si>
  <si>
    <t>ENSDARG00000000796</t>
  </si>
  <si>
    <t>nuclear receptor subfamily 4, group A, member 1 [Source:ZFIN;Acc:ZDB-GENE-040704-11]</t>
  </si>
  <si>
    <t>sgk2a</t>
  </si>
  <si>
    <t>ENSDARG00000063370</t>
  </si>
  <si>
    <t>serum/glucocorticoid regulated kinase 2a [Source:ZFIN;Acc:ZDB-GENE-030131-9632]</t>
  </si>
  <si>
    <t>AL954146.2</t>
  </si>
  <si>
    <t>ENSDARG00000052517</t>
  </si>
  <si>
    <t>zgc:154040</t>
  </si>
  <si>
    <t>ENSDARG00000093006</t>
  </si>
  <si>
    <t>zgc:154040 [Source:ZFIN;Acc:ZDB-GENE-060929-616]</t>
  </si>
  <si>
    <t>cotl1</t>
  </si>
  <si>
    <t>ENSDARG00000026829</t>
  </si>
  <si>
    <t>coactosin-like F-actin binding protein 1 [Source:ZFIN;Acc:ZDB-GENE-030131-8325]</t>
  </si>
  <si>
    <t>rassf6</t>
  </si>
  <si>
    <t>ENSDARG00000000804</t>
  </si>
  <si>
    <t>Ras association (RalGDS/AF-6) domain family 6 [Source:ZFIN;Acc:ZDB-GENE-030616-513]</t>
  </si>
  <si>
    <t>arhgap32a</t>
  </si>
  <si>
    <t>ENSDARG00000075334</t>
  </si>
  <si>
    <t>Rho GTPase activating protein 32a [Source:ZFIN;Acc:ZDB-GENE-060503-918]</t>
  </si>
  <si>
    <t>auts2a</t>
  </si>
  <si>
    <t>ENSDARG00000056427</t>
  </si>
  <si>
    <t>autism susceptibility candidate 2a [Source:ZFIN;Acc:ZDB-GENE-030616-571]</t>
  </si>
  <si>
    <t>hdr</t>
  </si>
  <si>
    <t>ENSDARG00000004392</t>
  </si>
  <si>
    <t>hematopoietic death receptor [Source:ZFIN;Acc:ZDB-GENE-030826-5]</t>
  </si>
  <si>
    <t>sik1</t>
  </si>
  <si>
    <t>ENSDARG00000058606</t>
  </si>
  <si>
    <t>salt-inducible kinase 1 [Source:ZFIN;Acc:ZDB-GENE-030131-9446]</t>
  </si>
  <si>
    <t>tpst1</t>
  </si>
  <si>
    <t>ENSDARG00000073872</t>
  </si>
  <si>
    <t>tyrosylprotein sulfotransferase 1 [Source:ZFIN;Acc:ZDB-GENE-000210-10]</t>
  </si>
  <si>
    <t>cmah</t>
  </si>
  <si>
    <t>ENSDARG00000057714</t>
  </si>
  <si>
    <t>cytidine monophospho-N-acetylneuraminic acid hydroxylase [Source:ZFIN;Acc:ZDB-GENE-040704-33]</t>
  </si>
  <si>
    <t>exoc3l2b</t>
  </si>
  <si>
    <t>ENSDARG00000030782</t>
  </si>
  <si>
    <t>exocyst complex component 3-like 2b [Source:ZFIN;Acc:ZDB-GENE-100728-5]</t>
  </si>
  <si>
    <t>fam214a</t>
  </si>
  <si>
    <t>ENSDARG00000040452</t>
  </si>
  <si>
    <t>family with sequence similarity 214, member A [Source:ZFIN;Acc:ZDB-GENE-050419-204]</t>
  </si>
  <si>
    <t>si:ch73-261i21.5</t>
  </si>
  <si>
    <t>ENSDARG00000105061</t>
  </si>
  <si>
    <t>si:ch73-261i21.5 [Source:ZFIN;Acc:ZDB-GENE-110411-258]</t>
  </si>
  <si>
    <t>add3a</t>
  </si>
  <si>
    <t>ENSDARG00000040874</t>
  </si>
  <si>
    <t>adducin 3 (gamma) a [Source:ZFIN;Acc:ZDB-GENE-030131-2721]</t>
  </si>
  <si>
    <t>dtnba</t>
  </si>
  <si>
    <t>ENSDARG00000077694</t>
  </si>
  <si>
    <t>dystrobrevin, beta a [Source:ZFIN;Acc:ZDB-GENE-030131-3967]</t>
  </si>
  <si>
    <t>ccdc85b</t>
  </si>
  <si>
    <t>ENSDARG00000061543</t>
  </si>
  <si>
    <t>coiled-coil domain containing 85B [Source:ZFIN;Acc:ZDB-GENE-060130-56]</t>
  </si>
  <si>
    <t>ncaldb</t>
  </si>
  <si>
    <t>ENSDARG00000011334</t>
  </si>
  <si>
    <t>neurocalcin delta b [Source:ZFIN;Acc:ZDB-GENE-040808-37]</t>
  </si>
  <si>
    <t>ugt1a1</t>
  </si>
  <si>
    <t>ENSDARG00000006220</t>
  </si>
  <si>
    <t>UDP glucuronosyltransferase 1 family, polypeptide A1 [Source:ZFIN;Acc:ZDB-GENE-071004-4]</t>
  </si>
  <si>
    <t>lmo7a</t>
  </si>
  <si>
    <t>ENSDARG00000004930</t>
  </si>
  <si>
    <t>LIM domain 7a [Source:ZFIN;Acc:ZDB-GENE-030219-74]</t>
  </si>
  <si>
    <t>wnt7aa</t>
  </si>
  <si>
    <t>ENSDARG00000044827</t>
  </si>
  <si>
    <t>wingless-type MMTV integration site family, member 7Aa [Source:ZFIN;Acc:ZDB-GENE-051129-1]</t>
  </si>
  <si>
    <t>prr15lb</t>
  </si>
  <si>
    <t>ENSDARG00000029308</t>
  </si>
  <si>
    <t>proline rich 15-like b [Source:ZFIN;Acc:ZDB-GENE-050417-201]</t>
  </si>
  <si>
    <t>fhod3b</t>
  </si>
  <si>
    <t>ENSDARG00000061904</t>
  </si>
  <si>
    <t>formin homology 2 domain containing 3b [Source:ZFIN;Acc:ZDB-GENE-081028-61]</t>
  </si>
  <si>
    <t>six2b</t>
  </si>
  <si>
    <t>ENSDARG00000054878</t>
  </si>
  <si>
    <t>SIX homeobox 2b [Source:ZFIN;Acc:ZDB-GENE-080723-23]</t>
  </si>
  <si>
    <t>pdgfab</t>
  </si>
  <si>
    <t>ENSDARG00000098578</t>
  </si>
  <si>
    <t>platelet-derived growth factor alpha polypeptide b [Source:ZFIN;Acc:ZDB-GENE-060929-124]</t>
  </si>
  <si>
    <t>si:ch73-141c7.1</t>
  </si>
  <si>
    <t>ENSDARG00000009040</t>
  </si>
  <si>
    <t>si:ch73-141c7.1 [Source:ZFIN;Acc:ZDB-GENE-040426-1760]</t>
  </si>
  <si>
    <t>six2a</t>
  </si>
  <si>
    <t>ENSDARG00000058004</t>
  </si>
  <si>
    <t>SIX homeobox 2a [Source:ZFIN;Acc:ZDB-GENE-010412-1]</t>
  </si>
  <si>
    <t>llgl2</t>
  </si>
  <si>
    <t>ENSDARG00000023920</t>
  </si>
  <si>
    <t>lethal giant larvae homolog 2 (Drosophila) [Source:ZFIN;Acc:ZDB-GENE-030131-9877]</t>
  </si>
  <si>
    <t>ca7</t>
  </si>
  <si>
    <t>ENSDARG00000045139</t>
  </si>
  <si>
    <t>carbonic anhydrase VII [Source:ZFIN;Acc:ZDB-GENE-040426-1786]</t>
  </si>
  <si>
    <t>tppp3</t>
  </si>
  <si>
    <t>ENSDARG00000030463</t>
  </si>
  <si>
    <t>tubulin polymerization-promoting protein family member 3 [Source:ZFIN;Acc:ZDB-GENE-040426-1909]</t>
  </si>
  <si>
    <t>arhgef10la</t>
  </si>
  <si>
    <t>ENSDARG00000088630</t>
  </si>
  <si>
    <t>Rho guanine nucleotide exchange factor (GEF) 10-like a [Source:ZFIN;Acc:ZDB-GENE-120814-1]</t>
  </si>
  <si>
    <t>si:ch211-202f5.3</t>
  </si>
  <si>
    <t>ENSDARG00000092998</t>
  </si>
  <si>
    <t>si:ch211-202f5.3 [Source:ZFIN;Acc:ZDB-GENE-030131-1042]</t>
  </si>
  <si>
    <t>abhd15a</t>
  </si>
  <si>
    <t>ENSDARG00000078768</t>
  </si>
  <si>
    <t>abhydrolase domain containing 15a [Source:ZFIN;Acc:ZDB-GENE-131121-270]</t>
  </si>
  <si>
    <t>ndfip1</t>
  </si>
  <si>
    <t>ENSDARG00000013979</t>
  </si>
  <si>
    <t>Nedd4 family interacting protein 1 [Source:ZFIN;Acc:ZDB-GENE-030131-2767]</t>
  </si>
  <si>
    <t>col18a1</t>
  </si>
  <si>
    <t>ENSDARG00000036558</t>
  </si>
  <si>
    <t>collagen type XVIII, alpha 1 [Source:ZFIN;Acc:ZDB-GENE-030516-3]</t>
  </si>
  <si>
    <t>oclnb</t>
  </si>
  <si>
    <t>ENSDARG00000003091</t>
  </si>
  <si>
    <t>occludin b [Source:ZFIN;Acc:ZDB-GENE-041212-43]</t>
  </si>
  <si>
    <t>degs1</t>
  </si>
  <si>
    <t>ENSDARG00000007347</t>
  </si>
  <si>
    <t>delta(4)-desaturase, sphingolipid 1 [Source:ZFIN;Acc:ZDB-GENE-030131-5283]</t>
  </si>
  <si>
    <t>si:ch211-214p13.3</t>
  </si>
  <si>
    <t>ENSDARG00000087403</t>
  </si>
  <si>
    <t>si:ch211-214p13.3 [Source:ZFIN;Acc:ZDB-GENE-060503-779]</t>
  </si>
  <si>
    <t>ppap2d</t>
  </si>
  <si>
    <t>ENSDARG00000069940</t>
  </si>
  <si>
    <t>phosphatidic acid phosphatase type 2D [Source:ZFIN;Acc:ZDB-GENE-061201-42]</t>
  </si>
  <si>
    <t>apela</t>
  </si>
  <si>
    <t>ENSDARG00000094729</t>
  </si>
  <si>
    <t>apelin receptor early endogenous ligand [Source:ZFIN;Acc:ZDB-GENE-090313-116]</t>
  </si>
  <si>
    <t>tmem45a</t>
  </si>
  <si>
    <t>ENSDARG00000070743</t>
  </si>
  <si>
    <t>transmembrane protein 45a [Source:ZFIN;Acc:ZDB-GENE-050522-34]</t>
  </si>
  <si>
    <t>tnika</t>
  </si>
  <si>
    <t>ENSDARG00000056218</t>
  </si>
  <si>
    <t>TRAF2 and NCK interacting kinase a [Source:ZFIN;Acc:ZDB-GENE-030131-3767]</t>
  </si>
  <si>
    <t>cdkn1cb</t>
  </si>
  <si>
    <t>ENSDARG00000104903</t>
  </si>
  <si>
    <t>cyclin-dependent kinase inhibitor 1Cb [Source:ZFIN;Acc:ZDB-GENE-131127-286]</t>
  </si>
  <si>
    <t>ccnd2a</t>
  </si>
  <si>
    <t>ENSDARG00000051748</t>
  </si>
  <si>
    <t>cyclin D2, a [Source:ZFIN;Acc:ZDB-GENE-070424-30]</t>
  </si>
  <si>
    <t>inpp5b</t>
  </si>
  <si>
    <t>ENSDARG00000103683</t>
  </si>
  <si>
    <t>inositol polyphosphate-5-phosphatase B [Source:ZFIN;Acc:ZDB-GENE-110411-228]</t>
  </si>
  <si>
    <t>hsd11b2</t>
  </si>
  <si>
    <t>ENSDARG00000001975</t>
  </si>
  <si>
    <t>hydroxysteroid (11-beta) dehydrogenase 2 [Source:ZFIN;Acc:ZDB-GENE-030131-6030]</t>
  </si>
  <si>
    <t>ddx27</t>
  </si>
  <si>
    <t>ENSDARG00000091831</t>
  </si>
  <si>
    <t>DEAD (Asp-Glu-Ala-Asp) box polypeptide 27 [Source:ZFIN;Acc:ZDB-GENE-031001-8]</t>
  </si>
  <si>
    <t>adcyap1b</t>
  </si>
  <si>
    <t>ENSDARG00000027740</t>
  </si>
  <si>
    <t>adenylate cyclase activating polypeptide 1b [Source:ZFIN;Acc:ZDB-GENE-041010-89]</t>
  </si>
  <si>
    <t>fsta</t>
  </si>
  <si>
    <t>ENSDARG00000052846</t>
  </si>
  <si>
    <t>follistatin a [Source:ZFIN;Acc:ZDB-GENE-990714-11]</t>
  </si>
  <si>
    <t>cpm</t>
  </si>
  <si>
    <t>ENSDARG00000011769</t>
  </si>
  <si>
    <t>carboxypeptidase M [Source:ZFIN;Acc:ZDB-GENE-041210-191]</t>
  </si>
  <si>
    <t>ckma</t>
  </si>
  <si>
    <t>ENSDARG00000035327</t>
  </si>
  <si>
    <t>creatine kinase, muscle a [Source:ZFIN;Acc:ZDB-GENE-980526-109]</t>
  </si>
  <si>
    <t>znf185</t>
  </si>
  <si>
    <t>ENSDARG00000103917</t>
  </si>
  <si>
    <t>zinc finger protein 185 (LIM domain) [Source:ZFIN;Acc:ZDB-GENE-061103-355]</t>
  </si>
  <si>
    <t>hmx2</t>
  </si>
  <si>
    <t>ENSDARG00000070954</t>
  </si>
  <si>
    <t>H6 family homeobox 2 [Source:ZFIN;Acc:ZDB-GENE-080506-2]</t>
  </si>
  <si>
    <t>hmx3a</t>
  </si>
  <si>
    <t>ENSDARG00000070955</t>
  </si>
  <si>
    <t>H6 family homeobox 3a [Source:ZFIN;Acc:ZDB-GENE-001020-1]</t>
  </si>
  <si>
    <t>si:dkey-248g15.3</t>
  </si>
  <si>
    <t>ENSDARG00000097959</t>
  </si>
  <si>
    <t>si:dkey-248g15.3 [Source:ZFIN;Acc:ZDB-GENE-131127-95]</t>
  </si>
  <si>
    <t>prom1b</t>
  </si>
  <si>
    <t>ENSDARG00000034007</t>
  </si>
  <si>
    <t>prominin 1 b [Source:ZFIN;Acc:ZDB-GENE-031003-1]</t>
  </si>
  <si>
    <t>mcf2lb</t>
  </si>
  <si>
    <t>ENSDARG00000076480</t>
  </si>
  <si>
    <t>mcf.2 cell line derived transforming sequence-like b [Source:ZFIN;Acc:ZDB-GENE-081104-416]</t>
  </si>
  <si>
    <t>ccl19b</t>
  </si>
  <si>
    <t>ENSDARG00000039351</t>
  </si>
  <si>
    <t>chemokine (C-C motif) ligand 19b [Source:ZFIN;Acc:ZDB-GENE-091204-19]</t>
  </si>
  <si>
    <t>cdkn1bb</t>
  </si>
  <si>
    <t>ENSDARG00000054271</t>
  </si>
  <si>
    <t>cyclin-dependent kinase inhibitor 1Bb [Source:ZFIN;Acc:ZDB-GENE-030521-13]</t>
  </si>
  <si>
    <t>dfna5a</t>
  </si>
  <si>
    <t>ENSDARG00000086762</t>
  </si>
  <si>
    <t>deafness, autosomal dominant 5 a [Source:ZFIN;Acc:ZDB-GENE-120215-186]</t>
  </si>
  <si>
    <t>ebf1b</t>
  </si>
  <si>
    <t>ENSDARG00000069196</t>
  </si>
  <si>
    <t>early B-cell factor 1b [Source:ZFIN;Acc:ZDB-GENE-090814-2]</t>
  </si>
  <si>
    <t>her8a</t>
  </si>
  <si>
    <t>ENSDARG00000016363</t>
  </si>
  <si>
    <t>hairy-related 8a [Source:ZFIN;Acc:ZDB-GENE-030131-2376]</t>
  </si>
  <si>
    <t>esrp1</t>
  </si>
  <si>
    <t>ENSDARG00000011245</t>
  </si>
  <si>
    <t>epithelial splicing regulatory protein 1 [Source:ZFIN;Acc:ZDB-GENE-070112-1732]</t>
  </si>
  <si>
    <t>fgf10a</t>
  </si>
  <si>
    <t>ENSDARG00000030932</t>
  </si>
  <si>
    <t>fibroblast growth factor 10a [Source:ZFIN;Acc:ZDB-GENE-030715-1]</t>
  </si>
  <si>
    <t>map1lc3cl</t>
  </si>
  <si>
    <t>ENSDARG00000075727</t>
  </si>
  <si>
    <t>microtubule-associated protein 1 light chain 3 gamma, like [Source:ZFIN;Acc:ZDB-GENE-140819-1]</t>
  </si>
  <si>
    <t>cx44.2</t>
  </si>
  <si>
    <t>ENSDARG00000077765</t>
  </si>
  <si>
    <t>connexin 44.2 [Source:ZFIN;Acc:ZDB-GENE-010619-1]</t>
  </si>
  <si>
    <t>nfasca</t>
  </si>
  <si>
    <t>ENSDARG00000061099</t>
  </si>
  <si>
    <t>neurofascin homolog (chicken) a [Source:ZFIN;Acc:ZDB-GENE-080229-6]</t>
  </si>
  <si>
    <t>gmds</t>
  </si>
  <si>
    <t>ENSDARG00000026629</t>
  </si>
  <si>
    <t>GDP-mannose 4,6-dehydratase [Source:ZFIN;Acc:ZDB-GENE-050419-45]</t>
  </si>
  <si>
    <t>pip5k1bb</t>
  </si>
  <si>
    <t>ENSDARG00000006508</t>
  </si>
  <si>
    <t>phosphatidylinositol-4-phosphate 5-kinase, type I, beta b [Source:ZFIN;Acc:ZDB-GENE-040912-141]</t>
  </si>
  <si>
    <t>zgc:64106</t>
  </si>
  <si>
    <t>ENSDARG00000011371</t>
  </si>
  <si>
    <t>zgc:64106 [Source:ZFIN;Acc:ZDB-GENE-040426-1370]</t>
  </si>
  <si>
    <t>ezra</t>
  </si>
  <si>
    <t>ENSDARG00000020944</t>
  </si>
  <si>
    <t>ezrin a [Source:ZFIN;Acc:ZDB-GENE-050522-18]</t>
  </si>
  <si>
    <t>ptgs2b</t>
  </si>
  <si>
    <t>ENSDARG00000010276</t>
  </si>
  <si>
    <t>prostaglandin-endoperoxide synthase 2b [Source:ZFIN;Acc:ZDB-GENE-041014-323]</t>
  </si>
  <si>
    <t>si:ch211-152c2.3</t>
  </si>
  <si>
    <t>ENSDARG00000045898</t>
  </si>
  <si>
    <t>si:ch211-152c2.3 [Source:ZFIN;Acc:ZDB-GENE-030131-9914]</t>
  </si>
  <si>
    <t>fap</t>
  </si>
  <si>
    <t>ENSDARG00000078468</t>
  </si>
  <si>
    <t>fibroblast activation protein, alpha [Source:ZFIN;Acc:ZDB-GENE-081104-439]</t>
  </si>
  <si>
    <t>tmc4</t>
  </si>
  <si>
    <t>ENSDARG00000031757</t>
  </si>
  <si>
    <t>transmembrane channel-like 4 [Source:ZFIN;Acc:ZDB-GENE-030131-7489]</t>
  </si>
  <si>
    <t>igfbp2a</t>
  </si>
  <si>
    <t>ENSDARG00000052470</t>
  </si>
  <si>
    <t>insulin-like growth factor binding protein 2a [Source:ZFIN;Acc:ZDB-GENE-000125-12]</t>
  </si>
  <si>
    <t>ehd1a</t>
  </si>
  <si>
    <t>ENSDARG00000098853</t>
  </si>
  <si>
    <t>EH-domain containing 1a [Source:ZFIN;Acc:ZDB-GENE-040426-2518]</t>
  </si>
  <si>
    <t>cd9a</t>
  </si>
  <si>
    <t>ENSDARG00000005842</t>
  </si>
  <si>
    <t>CD9 molecule a [Source:ZFIN;Acc:ZDB-GENE-030131-1175]</t>
  </si>
  <si>
    <t>herpud1</t>
  </si>
  <si>
    <t>ENSDARG00000024314</t>
  </si>
  <si>
    <t>homocysteine-inducible, endoplasmic reticulum stress-inducible, ubiquitin-like domain member 1 [Source:ZFIN;Acc:ZDB-GENE-050913-47]</t>
  </si>
  <si>
    <t>ap2m1a</t>
  </si>
  <si>
    <t>ENSDARG00000002790</t>
  </si>
  <si>
    <t>adaptor-related protein complex 2, mu 1 subunit, a [Source:ZFIN;Acc:ZDB-GENE-030131-9784]</t>
  </si>
  <si>
    <t>nfil3-6</t>
  </si>
  <si>
    <t>ENSDARG00000087188</t>
  </si>
  <si>
    <t>nuclear factor, interleukin 3 regulated, member 6 [Source:ZFIN;Acc:ZDB-GENE-040704-63]</t>
  </si>
  <si>
    <t>si:dkey-225d17.2</t>
  </si>
  <si>
    <t>ENSDARG00000091889</t>
  </si>
  <si>
    <t>si:dkey-225d17.2 [Source:ZFIN;Acc:ZDB-GENE-081105-74]</t>
  </si>
  <si>
    <t>si:ch211-161h7.5</t>
  </si>
  <si>
    <t>ENSDARG00000093044</t>
  </si>
  <si>
    <t>si:ch211-161h7.5 [Source:ZFIN;Acc:ZDB-GENE-091204-265]</t>
  </si>
  <si>
    <t>gdpd2</t>
  </si>
  <si>
    <t>ENSDARG00000073870</t>
  </si>
  <si>
    <t>glycerophosphodiester phosphodiesterase domain containing 2 [Source:ZFIN;Acc:ZDB-GENE-081107-62]</t>
  </si>
  <si>
    <t>si:ch211-266g18.6</t>
  </si>
  <si>
    <t>ENSDARG00000003381</t>
  </si>
  <si>
    <t>si:ch211-266g18.6 [Source:ZFIN;Acc:ZDB-GENE-131121-599]</t>
  </si>
  <si>
    <t>srgap3</t>
  </si>
  <si>
    <t>ENSDARG00000060309</t>
  </si>
  <si>
    <t>SLIT-ROBO Rho GTPase activating protein 3 [Source:ZFIN;Acc:ZDB-GENE-060524-4]</t>
  </si>
  <si>
    <t>fkbp10b</t>
  </si>
  <si>
    <t>ENSDARG00000045129</t>
  </si>
  <si>
    <t>FK506 binding protein 10b [Source:ZFIN;Acc:ZDB-GENE-030131-3101]</t>
  </si>
  <si>
    <t>cxcr4a</t>
  </si>
  <si>
    <t>ENSDARG00000057633</t>
  </si>
  <si>
    <t>chemokine (C-X-C motif) receptor 4a [Source:ZFIN;Acc:ZDB-GENE-020102-1]</t>
  </si>
  <si>
    <t>si:ch211-149l1.2</t>
  </si>
  <si>
    <t>ENSDARG00000079501</t>
  </si>
  <si>
    <t>si:ch211-149l1.2 [Source:ZFIN;Acc:ZDB-GENE-090313-40]</t>
  </si>
  <si>
    <t>chmp1b</t>
  </si>
  <si>
    <t>ENSDARG00000099624</t>
  </si>
  <si>
    <t>chromatin modifying protein 1B [Source:ZFIN;Acc:ZDB-GENE-030131-8370]</t>
  </si>
  <si>
    <t>gpc1a</t>
  </si>
  <si>
    <t>ENSDARG00000019341</t>
  </si>
  <si>
    <t>glypican 1a [Source:ZFIN;Acc:ZDB-GENE-051120-147]</t>
  </si>
  <si>
    <t>rab25a</t>
  </si>
  <si>
    <t>ENSDARG00000058800</t>
  </si>
  <si>
    <t>RAB25, member RAS oncogene family a [Source:ZFIN;Acc:ZDB-GENE-041212-69]</t>
  </si>
  <si>
    <t>rcn3</t>
  </si>
  <si>
    <t>ENSDARG00000037961</t>
  </si>
  <si>
    <t>reticulocalbin 3, EF-hand calcium binding domain [Source:ZFIN;Acc:ZDB-GENE-040625-175]</t>
  </si>
  <si>
    <t>abca12</t>
  </si>
  <si>
    <t>ENSDARG00000074749</t>
  </si>
  <si>
    <t>ATP-binding cassette, sub-family A (ABC1), member 12 [Source:ZFIN;Acc:ZDB-GENE-030131-9790]</t>
  </si>
  <si>
    <t>fam89a</t>
  </si>
  <si>
    <t>ENSDARG00000079979</t>
  </si>
  <si>
    <t>family with sequence similarity 89, member A [Source:ZFIN;Acc:ZDB-GENE-111019-1]</t>
  </si>
  <si>
    <t>furina</t>
  </si>
  <si>
    <t>ENSDARG00000062909</t>
  </si>
  <si>
    <t>furin (paired basic amino acid cleaving enzyme) a [Source:ZFIN;Acc:ZDB-GENE-040901-1]</t>
  </si>
  <si>
    <t>nrg2a</t>
  </si>
  <si>
    <t>ENSDARG00000077818</t>
  </si>
  <si>
    <t>neuregulin 2a [Source:ZFIN;Acc:ZDB-GENE-070615-10]</t>
  </si>
  <si>
    <t>efna1a</t>
  </si>
  <si>
    <t>ENSDARG00000030326</t>
  </si>
  <si>
    <t>ephrin-A1a [Source:ZFIN;Acc:ZDB-GENE-040426-1135]</t>
  </si>
  <si>
    <t>svopl</t>
  </si>
  <si>
    <t>ENSDARG00000057983</t>
  </si>
  <si>
    <t>SVOP-like [Source:ZFIN;Acc:ZDB-GENE-041114-109]</t>
  </si>
  <si>
    <t>tnnt2a</t>
  </si>
  <si>
    <t>ENSDARG00000020610</t>
  </si>
  <si>
    <t>troponin T type 2a (cardiac) [Source:ZFIN;Acc:ZDB-GENE-000626-1]</t>
  </si>
  <si>
    <t>btbd6b</t>
  </si>
  <si>
    <t>ENSDARG00000032369</t>
  </si>
  <si>
    <t>BTB (POZ) domain containing 6b [Source:ZFIN;Acc:ZDB-GENE-030829-65]</t>
  </si>
  <si>
    <t>mgat1b</t>
  </si>
  <si>
    <t>ENSDARG00000036065</t>
  </si>
  <si>
    <t>mannosyl (alpha-1,3-)-glycoprotein beta-1,2-N-acetylglucosaminyltransferase b [Source:ZFIN;Acc:ZDB-GENE-061103-589]</t>
  </si>
  <si>
    <t>fabp2</t>
  </si>
  <si>
    <t>ENSDARG00000006427</t>
  </si>
  <si>
    <t>fatty acid binding protein 2, intestinal [Source:ZFIN;Acc:ZDB-GENE-991019-5]</t>
  </si>
  <si>
    <t>The adjusted p-value cutoff for this table is 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</si>
</sst>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3"/>
  <sheetViews>
    <sheetView topLeftCell="B1" workbookViewId="0">
      <selection activeCell="J2237" sqref="J2237"/>
    </sheetView>
  </sheetViews>
  <sheetFormatPr baseColWidth="10" defaultColWidth="8.83203125" defaultRowHeight="15" x14ac:dyDescent="0.2"/>
  <cols>
    <col min="1" max="1" width="11.83203125" bestFit="1" customWidth="1"/>
    <col min="2" max="2" width="12.6640625" bestFit="1" customWidth="1"/>
    <col min="3" max="4" width="6.1640625" bestFit="1" customWidth="1"/>
    <col min="5" max="5" width="11.83203125" bestFit="1" customWidth="1"/>
    <col min="6" max="6" width="6.33203125" bestFit="1" customWidth="1"/>
    <col min="7" max="7" width="17.33203125" bestFit="1" customWidth="1"/>
    <col min="8" max="8" width="19.5" bestFit="1" customWidth="1"/>
    <col min="9" max="9" width="18.5" bestFit="1" customWidth="1"/>
    <col min="10" max="10" width="33.5" style="1" bestFit="1" customWidth="1"/>
    <col min="11" max="11" width="126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</row>
    <row r="2" spans="1:11" x14ac:dyDescent="0.2">
      <c r="A2">
        <v>6.9032999564992799E-227</v>
      </c>
      <c r="B2">
        <v>1.94924319698074</v>
      </c>
      <c r="C2">
        <v>0.93</v>
      </c>
      <c r="D2">
        <v>2.5999999999999999E-2</v>
      </c>
      <c r="E2">
        <v>1.06883793226478E-222</v>
      </c>
      <c r="F2">
        <v>1</v>
      </c>
      <c r="G2" t="s">
        <v>11</v>
      </c>
      <c r="H2" t="s">
        <v>12</v>
      </c>
      <c r="I2" t="s">
        <v>11</v>
      </c>
      <c r="J2" s="1" t="str">
        <f>HYPERLINK("https://zfin.org/ZDB-GENE-060526-265")</f>
        <v>https://zfin.org/ZDB-GENE-060526-265</v>
      </c>
      <c r="K2" t="s">
        <v>13</v>
      </c>
    </row>
    <row r="3" spans="1:11" x14ac:dyDescent="0.2">
      <c r="A3">
        <v>3.52737440663059E-218</v>
      </c>
      <c r="B3">
        <v>1.62253627753404</v>
      </c>
      <c r="C3">
        <v>0.90400000000000003</v>
      </c>
      <c r="D3">
        <v>2.4E-2</v>
      </c>
      <c r="E3">
        <v>5.4614337937861401E-214</v>
      </c>
      <c r="F3">
        <v>1</v>
      </c>
      <c r="G3" t="s">
        <v>14</v>
      </c>
      <c r="H3" t="s">
        <v>15</v>
      </c>
      <c r="I3" t="s">
        <v>14</v>
      </c>
      <c r="J3" s="1" t="str">
        <f>HYPERLINK("https://zfin.org/ZDB-GENE-060526-262")</f>
        <v>https://zfin.org/ZDB-GENE-060526-262</v>
      </c>
      <c r="K3" t="s">
        <v>16</v>
      </c>
    </row>
    <row r="4" spans="1:11" x14ac:dyDescent="0.2">
      <c r="A4">
        <v>3.3888334682530099E-198</v>
      </c>
      <c r="B4">
        <v>1.5320275391706299</v>
      </c>
      <c r="C4">
        <v>0.78100000000000003</v>
      </c>
      <c r="D4">
        <v>1.7000000000000001E-2</v>
      </c>
      <c r="E4">
        <v>5.2469308588961399E-194</v>
      </c>
      <c r="F4">
        <v>1</v>
      </c>
      <c r="G4" t="s">
        <v>17</v>
      </c>
      <c r="H4" t="s">
        <v>18</v>
      </c>
      <c r="I4" t="s">
        <v>17</v>
      </c>
      <c r="J4" s="1" t="str">
        <f>HYPERLINK("https://zfin.org/ZDB-GENE-160114-52")</f>
        <v>https://zfin.org/ZDB-GENE-160114-52</v>
      </c>
      <c r="K4" t="s">
        <v>19</v>
      </c>
    </row>
    <row r="5" spans="1:11" x14ac:dyDescent="0.2">
      <c r="A5">
        <v>6.9667135725281699E-196</v>
      </c>
      <c r="B5">
        <v>1.79818506572869</v>
      </c>
      <c r="C5">
        <v>0.95599999999999996</v>
      </c>
      <c r="D5">
        <v>4.7E-2</v>
      </c>
      <c r="E5">
        <v>1.07865626243454E-191</v>
      </c>
      <c r="F5">
        <v>1</v>
      </c>
      <c r="G5" t="s">
        <v>20</v>
      </c>
      <c r="H5" t="s">
        <v>21</v>
      </c>
      <c r="I5" t="s">
        <v>20</v>
      </c>
      <c r="J5" s="1" t="str">
        <f>HYPERLINK("https://zfin.org/ZDB-GENE-030804-7")</f>
        <v>https://zfin.org/ZDB-GENE-030804-7</v>
      </c>
      <c r="K5" t="s">
        <v>22</v>
      </c>
    </row>
    <row r="6" spans="1:11" x14ac:dyDescent="0.2">
      <c r="A6">
        <v>3.10098422974726E-195</v>
      </c>
      <c r="B6">
        <v>1.68112314635814</v>
      </c>
      <c r="C6">
        <v>0.85099999999999998</v>
      </c>
      <c r="D6">
        <v>2.8000000000000001E-2</v>
      </c>
      <c r="E6">
        <v>4.8012538829176898E-191</v>
      </c>
      <c r="F6">
        <v>1</v>
      </c>
      <c r="G6" t="s">
        <v>23</v>
      </c>
      <c r="H6" t="s">
        <v>24</v>
      </c>
      <c r="I6" t="s">
        <v>25</v>
      </c>
      <c r="J6" s="1" t="str">
        <f>HYPERLINK("https://zfin.org/ZDB-GENE-030131-9116")</f>
        <v>https://zfin.org/ZDB-GENE-030131-9116</v>
      </c>
      <c r="K6" t="s">
        <v>26</v>
      </c>
    </row>
    <row r="7" spans="1:11" x14ac:dyDescent="0.2">
      <c r="A7">
        <v>6.4711258450217304E-195</v>
      </c>
      <c r="B7">
        <v>1.6396599098626099</v>
      </c>
      <c r="C7">
        <v>0.89500000000000002</v>
      </c>
      <c r="D7">
        <v>3.5999999999999997E-2</v>
      </c>
      <c r="E7">
        <v>1.00192441458471E-190</v>
      </c>
      <c r="F7">
        <v>1</v>
      </c>
      <c r="G7" t="s">
        <v>27</v>
      </c>
      <c r="H7" t="s">
        <v>28</v>
      </c>
      <c r="I7" t="s">
        <v>27</v>
      </c>
      <c r="J7" s="1" t="str">
        <f>HYPERLINK("https://zfin.org/")</f>
        <v>https://zfin.org/</v>
      </c>
      <c r="K7" t="s">
        <v>29</v>
      </c>
    </row>
    <row r="8" spans="1:11" x14ac:dyDescent="0.2">
      <c r="A8">
        <v>1.6750745266774399E-192</v>
      </c>
      <c r="B8">
        <v>1.2992711327139901</v>
      </c>
      <c r="C8">
        <v>0.83299999999999996</v>
      </c>
      <c r="D8">
        <v>2.5999999999999999E-2</v>
      </c>
      <c r="E8">
        <v>2.5935178896546901E-188</v>
      </c>
      <c r="F8">
        <v>1</v>
      </c>
      <c r="G8" t="s">
        <v>30</v>
      </c>
      <c r="H8" t="s">
        <v>31</v>
      </c>
      <c r="I8" t="s">
        <v>30</v>
      </c>
      <c r="J8" s="1" t="str">
        <f>HYPERLINK("https://zfin.org/ZDB-GENE-081105-176")</f>
        <v>https://zfin.org/ZDB-GENE-081105-176</v>
      </c>
      <c r="K8" t="s">
        <v>32</v>
      </c>
    </row>
    <row r="9" spans="1:11" x14ac:dyDescent="0.2">
      <c r="A9">
        <v>2.7162269638972598E-190</v>
      </c>
      <c r="B9">
        <v>1.6876735667318301</v>
      </c>
      <c r="C9">
        <v>0.96499999999999997</v>
      </c>
      <c r="D9">
        <v>5.0999999999999997E-2</v>
      </c>
      <c r="E9">
        <v>4.20553420820213E-186</v>
      </c>
      <c r="F9">
        <v>1</v>
      </c>
      <c r="G9" t="s">
        <v>33</v>
      </c>
      <c r="H9" t="s">
        <v>34</v>
      </c>
      <c r="I9" t="s">
        <v>33</v>
      </c>
      <c r="J9" s="1" t="str">
        <f>HYPERLINK("https://zfin.org/ZDB-GENE-050413-1")</f>
        <v>https://zfin.org/ZDB-GENE-050413-1</v>
      </c>
      <c r="K9" t="s">
        <v>35</v>
      </c>
    </row>
    <row r="10" spans="1:11" x14ac:dyDescent="0.2">
      <c r="A10">
        <v>5.7581453865700904E-190</v>
      </c>
      <c r="B10">
        <v>1.38964467673549</v>
      </c>
      <c r="C10">
        <v>0.89500000000000002</v>
      </c>
      <c r="D10">
        <v>3.5000000000000003E-2</v>
      </c>
      <c r="E10">
        <v>8.9153365020264708E-186</v>
      </c>
      <c r="F10">
        <v>1</v>
      </c>
      <c r="G10" t="s">
        <v>36</v>
      </c>
      <c r="H10" t="s">
        <v>37</v>
      </c>
      <c r="I10" t="s">
        <v>36</v>
      </c>
      <c r="J10" s="1" t="str">
        <f>HYPERLINK("https://zfin.org/ZDB-GENE-050419-255")</f>
        <v>https://zfin.org/ZDB-GENE-050419-255</v>
      </c>
      <c r="K10" t="s">
        <v>38</v>
      </c>
    </row>
    <row r="11" spans="1:11" x14ac:dyDescent="0.2">
      <c r="A11">
        <v>6.9293389885299394E-188</v>
      </c>
      <c r="B11">
        <v>1.41382663208542</v>
      </c>
      <c r="C11">
        <v>0.83299999999999996</v>
      </c>
      <c r="D11">
        <v>2.8000000000000001E-2</v>
      </c>
      <c r="E11">
        <v>1.0728695555940899E-183</v>
      </c>
      <c r="F11">
        <v>1</v>
      </c>
      <c r="G11" t="s">
        <v>39</v>
      </c>
      <c r="H11" t="s">
        <v>40</v>
      </c>
      <c r="I11" t="s">
        <v>39</v>
      </c>
      <c r="J11" s="1" t="str">
        <f>HYPERLINK("https://zfin.org/ZDB-GENE-030821-1")</f>
        <v>https://zfin.org/ZDB-GENE-030821-1</v>
      </c>
      <c r="K11" t="s">
        <v>41</v>
      </c>
    </row>
    <row r="12" spans="1:11" x14ac:dyDescent="0.2">
      <c r="A12">
        <v>2.4052317311124301E-187</v>
      </c>
      <c r="B12">
        <v>1.6700332949947201</v>
      </c>
      <c r="C12">
        <v>0.96499999999999997</v>
      </c>
      <c r="D12">
        <v>5.0999999999999997E-2</v>
      </c>
      <c r="E12">
        <v>3.7240202892813799E-183</v>
      </c>
      <c r="F12">
        <v>1</v>
      </c>
      <c r="G12" t="s">
        <v>42</v>
      </c>
      <c r="H12" t="s">
        <v>43</v>
      </c>
      <c r="I12" t="s">
        <v>42</v>
      </c>
      <c r="J12" s="1" t="str">
        <f>HYPERLINK("https://zfin.org/ZDB-GENE-070718-1")</f>
        <v>https://zfin.org/ZDB-GENE-070718-1</v>
      </c>
      <c r="K12" t="s">
        <v>44</v>
      </c>
    </row>
    <row r="13" spans="1:11" x14ac:dyDescent="0.2">
      <c r="A13">
        <v>1.4343685241966301E-181</v>
      </c>
      <c r="B13">
        <v>1.05160193808461</v>
      </c>
      <c r="C13">
        <v>0.82499999999999996</v>
      </c>
      <c r="D13">
        <v>2.8000000000000001E-2</v>
      </c>
      <c r="E13">
        <v>2.22083278601364E-177</v>
      </c>
      <c r="F13">
        <v>1</v>
      </c>
      <c r="G13" t="s">
        <v>45</v>
      </c>
      <c r="H13" t="s">
        <v>46</v>
      </c>
      <c r="I13" t="s">
        <v>45</v>
      </c>
      <c r="J13" s="1" t="str">
        <f>HYPERLINK("https://zfin.org/ZDB-GENE-041114-99")</f>
        <v>https://zfin.org/ZDB-GENE-041114-99</v>
      </c>
      <c r="K13" t="s">
        <v>47</v>
      </c>
    </row>
    <row r="14" spans="1:11" x14ac:dyDescent="0.2">
      <c r="A14">
        <v>4.8428930242202197E-177</v>
      </c>
      <c r="B14">
        <v>1.8294823839434899</v>
      </c>
      <c r="C14">
        <v>0.98199999999999998</v>
      </c>
      <c r="D14">
        <v>6.3E-2</v>
      </c>
      <c r="E14">
        <v>7.4982512694001706E-173</v>
      </c>
      <c r="F14">
        <v>1</v>
      </c>
      <c r="G14" t="s">
        <v>48</v>
      </c>
      <c r="H14" t="s">
        <v>49</v>
      </c>
      <c r="I14" t="s">
        <v>48</v>
      </c>
      <c r="J14" s="1" t="str">
        <f>HYPERLINK("https://zfin.org/")</f>
        <v>https://zfin.org/</v>
      </c>
    </row>
    <row r="15" spans="1:11" x14ac:dyDescent="0.2">
      <c r="A15">
        <v>6.1377945791899198E-175</v>
      </c>
      <c r="B15">
        <v>1.46882666673504</v>
      </c>
      <c r="C15">
        <v>0.92100000000000004</v>
      </c>
      <c r="D15">
        <v>4.8000000000000001E-2</v>
      </c>
      <c r="E15">
        <v>9.5031473469597601E-171</v>
      </c>
      <c r="F15">
        <v>1</v>
      </c>
      <c r="G15" t="s">
        <v>50</v>
      </c>
      <c r="H15" t="s">
        <v>51</v>
      </c>
      <c r="I15" t="s">
        <v>50</v>
      </c>
      <c r="J15" s="1" t="str">
        <f>HYPERLINK("https://zfin.org/ZDB-GENE-070705-158")</f>
        <v>https://zfin.org/ZDB-GENE-070705-158</v>
      </c>
      <c r="K15" t="s">
        <v>52</v>
      </c>
    </row>
    <row r="16" spans="1:11" x14ac:dyDescent="0.2">
      <c r="A16">
        <v>6.9237255849992696E-174</v>
      </c>
      <c r="B16">
        <v>0.93416636391285801</v>
      </c>
      <c r="C16">
        <v>0.71099999999999997</v>
      </c>
      <c r="D16">
        <v>1.6E-2</v>
      </c>
      <c r="E16">
        <v>1.07200043232544E-169</v>
      </c>
      <c r="F16">
        <v>1</v>
      </c>
      <c r="G16" t="s">
        <v>53</v>
      </c>
      <c r="H16" t="s">
        <v>54</v>
      </c>
      <c r="I16" t="s">
        <v>53</v>
      </c>
      <c r="J16" s="1" t="str">
        <f>HYPERLINK("https://zfin.org/ZDB-GENE-070912-70")</f>
        <v>https://zfin.org/ZDB-GENE-070912-70</v>
      </c>
      <c r="K16" t="s">
        <v>55</v>
      </c>
    </row>
    <row r="17" spans="1:11" x14ac:dyDescent="0.2">
      <c r="A17">
        <v>7.6847209116543902E-174</v>
      </c>
      <c r="B17">
        <v>1.3057362304081499</v>
      </c>
      <c r="C17">
        <v>0.84199999999999997</v>
      </c>
      <c r="D17">
        <v>3.5999999999999997E-2</v>
      </c>
      <c r="E17">
        <v>1.18982533875145E-169</v>
      </c>
      <c r="F17">
        <v>1</v>
      </c>
      <c r="G17" t="s">
        <v>56</v>
      </c>
      <c r="H17" t="s">
        <v>57</v>
      </c>
      <c r="I17" t="s">
        <v>56</v>
      </c>
      <c r="J17" s="1" t="str">
        <f>HYPERLINK("https://zfin.org/ZDB-GENE-080220-51")</f>
        <v>https://zfin.org/ZDB-GENE-080220-51</v>
      </c>
      <c r="K17" t="s">
        <v>58</v>
      </c>
    </row>
    <row r="18" spans="1:11" x14ac:dyDescent="0.2">
      <c r="A18">
        <v>7.5568054446648801E-171</v>
      </c>
      <c r="B18">
        <v>1.02681865876878</v>
      </c>
      <c r="C18">
        <v>0.66700000000000004</v>
      </c>
      <c r="D18">
        <v>1.2999999999999999E-2</v>
      </c>
      <c r="E18">
        <v>1.1700201869974601E-166</v>
      </c>
      <c r="F18">
        <v>1</v>
      </c>
      <c r="G18" t="s">
        <v>59</v>
      </c>
      <c r="H18" t="s">
        <v>60</v>
      </c>
      <c r="I18" t="s">
        <v>59</v>
      </c>
      <c r="J18" s="1" t="str">
        <f>HYPERLINK("https://zfin.org/")</f>
        <v>https://zfin.org/</v>
      </c>
    </row>
    <row r="19" spans="1:11" x14ac:dyDescent="0.2">
      <c r="A19">
        <v>2.8982435281443799E-166</v>
      </c>
      <c r="B19">
        <v>1.42103615694678</v>
      </c>
      <c r="C19">
        <v>0.93899999999999995</v>
      </c>
      <c r="D19">
        <v>0.06</v>
      </c>
      <c r="E19">
        <v>4.4873504546259399E-162</v>
      </c>
      <c r="F19">
        <v>1</v>
      </c>
      <c r="G19" t="s">
        <v>61</v>
      </c>
      <c r="H19" t="s">
        <v>62</v>
      </c>
      <c r="I19" t="s">
        <v>61</v>
      </c>
      <c r="J19" s="1" t="str">
        <f>HYPERLINK("https://zfin.org/ZDB-GENE-040426-833")</f>
        <v>https://zfin.org/ZDB-GENE-040426-833</v>
      </c>
      <c r="K19" t="s">
        <v>63</v>
      </c>
    </row>
    <row r="20" spans="1:11" x14ac:dyDescent="0.2">
      <c r="A20">
        <v>6.1457235520670399E-166</v>
      </c>
      <c r="B20">
        <v>1.1356927484544499</v>
      </c>
      <c r="C20">
        <v>0.78100000000000003</v>
      </c>
      <c r="D20">
        <v>2.9000000000000001E-2</v>
      </c>
      <c r="E20">
        <v>9.5154237756653894E-162</v>
      </c>
      <c r="F20">
        <v>1</v>
      </c>
      <c r="G20" t="s">
        <v>64</v>
      </c>
      <c r="H20" t="s">
        <v>65</v>
      </c>
      <c r="I20" t="s">
        <v>64</v>
      </c>
      <c r="J20" s="1" t="str">
        <f>HYPERLINK("https://zfin.org/ZDB-GENE-070112-1912")</f>
        <v>https://zfin.org/ZDB-GENE-070112-1912</v>
      </c>
      <c r="K20" t="s">
        <v>66</v>
      </c>
    </row>
    <row r="21" spans="1:11" x14ac:dyDescent="0.2">
      <c r="A21">
        <v>3.36823430942257E-165</v>
      </c>
      <c r="B21">
        <v>1.2282882461836999</v>
      </c>
      <c r="C21">
        <v>0.746</v>
      </c>
      <c r="D21">
        <v>2.5999999999999999E-2</v>
      </c>
      <c r="E21">
        <v>5.2150371812789599E-161</v>
      </c>
      <c r="F21">
        <v>1</v>
      </c>
      <c r="G21" t="s">
        <v>67</v>
      </c>
      <c r="H21" t="s">
        <v>68</v>
      </c>
      <c r="I21" t="s">
        <v>67</v>
      </c>
      <c r="J21" s="1" t="str">
        <f>HYPERLINK("https://zfin.org/ZDB-GENE-050208-657")</f>
        <v>https://zfin.org/ZDB-GENE-050208-657</v>
      </c>
      <c r="K21" t="s">
        <v>69</v>
      </c>
    </row>
    <row r="22" spans="1:11" x14ac:dyDescent="0.2">
      <c r="A22">
        <v>7.5062400992090003E-165</v>
      </c>
      <c r="B22">
        <v>1.35423871926781</v>
      </c>
      <c r="C22">
        <v>0.84199999999999997</v>
      </c>
      <c r="D22">
        <v>4.2999999999999997E-2</v>
      </c>
      <c r="E22">
        <v>1.16219115456053E-160</v>
      </c>
      <c r="F22">
        <v>1</v>
      </c>
      <c r="G22" t="s">
        <v>70</v>
      </c>
      <c r="H22" t="s">
        <v>71</v>
      </c>
      <c r="I22" t="s">
        <v>70</v>
      </c>
      <c r="J22" s="1" t="str">
        <f>HYPERLINK("https://zfin.org/ZDB-GENE-040426-1903")</f>
        <v>https://zfin.org/ZDB-GENE-040426-1903</v>
      </c>
      <c r="K22" t="s">
        <v>72</v>
      </c>
    </row>
    <row r="23" spans="1:11" x14ac:dyDescent="0.2">
      <c r="A23">
        <v>2.2529110654046501E-164</v>
      </c>
      <c r="B23">
        <v>2.0837785354973399</v>
      </c>
      <c r="C23">
        <v>0.99099999999999999</v>
      </c>
      <c r="D23">
        <v>8.6999999999999994E-2</v>
      </c>
      <c r="E23">
        <v>3.4881822025660103E-160</v>
      </c>
      <c r="F23">
        <v>1</v>
      </c>
      <c r="G23" t="s">
        <v>73</v>
      </c>
      <c r="H23" t="s">
        <v>74</v>
      </c>
      <c r="I23" t="s">
        <v>73</v>
      </c>
      <c r="J23" s="1" t="str">
        <f>HYPERLINK("https://zfin.org/ZDB-GENE-041010-45")</f>
        <v>https://zfin.org/ZDB-GENE-041010-45</v>
      </c>
      <c r="K23" t="s">
        <v>75</v>
      </c>
    </row>
    <row r="24" spans="1:11" x14ac:dyDescent="0.2">
      <c r="A24">
        <v>5.6327192360050899E-164</v>
      </c>
      <c r="B24">
        <v>1.0508872927598301</v>
      </c>
      <c r="C24">
        <v>0.746</v>
      </c>
      <c r="D24">
        <v>2.5000000000000001E-2</v>
      </c>
      <c r="E24">
        <v>8.7211391931066804E-160</v>
      </c>
      <c r="F24">
        <v>1</v>
      </c>
      <c r="G24" t="s">
        <v>76</v>
      </c>
      <c r="H24" t="s">
        <v>77</v>
      </c>
      <c r="I24" t="s">
        <v>76</v>
      </c>
      <c r="J24" s="1" t="str">
        <f>HYPERLINK("https://zfin.org/ZDB-GENE-070820-17")</f>
        <v>https://zfin.org/ZDB-GENE-070820-17</v>
      </c>
      <c r="K24" t="s">
        <v>78</v>
      </c>
    </row>
    <row r="25" spans="1:11" x14ac:dyDescent="0.2">
      <c r="A25">
        <v>8.1606538366512096E-163</v>
      </c>
      <c r="B25">
        <v>1.0945463725670399</v>
      </c>
      <c r="C25">
        <v>0.77200000000000002</v>
      </c>
      <c r="D25">
        <v>2.9000000000000001E-2</v>
      </c>
      <c r="E25">
        <v>1.26351403352871E-158</v>
      </c>
      <c r="F25">
        <v>1</v>
      </c>
      <c r="G25" t="s">
        <v>79</v>
      </c>
      <c r="H25" t="s">
        <v>80</v>
      </c>
      <c r="I25" t="s">
        <v>79</v>
      </c>
      <c r="J25" s="1" t="str">
        <f>HYPERLINK("https://zfin.org/ZDB-GENE-040704-24")</f>
        <v>https://zfin.org/ZDB-GENE-040704-24</v>
      </c>
      <c r="K25" t="s">
        <v>81</v>
      </c>
    </row>
    <row r="26" spans="1:11" x14ac:dyDescent="0.2">
      <c r="A26">
        <v>9.7603975522885497E-163</v>
      </c>
      <c r="B26">
        <v>1.23346476837105</v>
      </c>
      <c r="C26">
        <v>0.80700000000000005</v>
      </c>
      <c r="D26">
        <v>3.5000000000000003E-2</v>
      </c>
      <c r="E26">
        <v>1.51120235302084E-158</v>
      </c>
      <c r="F26">
        <v>1</v>
      </c>
      <c r="G26" t="s">
        <v>82</v>
      </c>
      <c r="H26" t="s">
        <v>83</v>
      </c>
      <c r="I26" t="s">
        <v>82</v>
      </c>
      <c r="J26" s="1" t="str">
        <f>HYPERLINK("https://zfin.org/ZDB-GENE-100913-3")</f>
        <v>https://zfin.org/ZDB-GENE-100913-3</v>
      </c>
      <c r="K26" t="s">
        <v>84</v>
      </c>
    </row>
    <row r="27" spans="1:11" x14ac:dyDescent="0.2">
      <c r="A27">
        <v>6.7216519236329999E-162</v>
      </c>
      <c r="B27">
        <v>1.3985661988642299</v>
      </c>
      <c r="C27">
        <v>0.83299999999999996</v>
      </c>
      <c r="D27">
        <v>4.2999999999999997E-2</v>
      </c>
      <c r="E27">
        <v>1.0407133673361E-157</v>
      </c>
      <c r="F27">
        <v>1</v>
      </c>
      <c r="G27" t="s">
        <v>85</v>
      </c>
      <c r="H27" t="s">
        <v>86</v>
      </c>
      <c r="I27" t="s">
        <v>85</v>
      </c>
      <c r="J27" s="1" t="str">
        <f>HYPERLINK("https://zfin.org/ZDB-GENE-060929-368")</f>
        <v>https://zfin.org/ZDB-GENE-060929-368</v>
      </c>
      <c r="K27" t="s">
        <v>87</v>
      </c>
    </row>
    <row r="28" spans="1:11" x14ac:dyDescent="0.2">
      <c r="A28">
        <v>3.1124366570062102E-161</v>
      </c>
      <c r="B28">
        <v>1.9650878336833899</v>
      </c>
      <c r="C28">
        <v>0.85099999999999998</v>
      </c>
      <c r="D28">
        <v>0.05</v>
      </c>
      <c r="E28">
        <v>4.81898567604271E-157</v>
      </c>
      <c r="F28">
        <v>1</v>
      </c>
      <c r="G28" t="s">
        <v>88</v>
      </c>
      <c r="H28" t="s">
        <v>89</v>
      </c>
      <c r="I28" t="s">
        <v>88</v>
      </c>
      <c r="J28" s="1" t="str">
        <f>HYPERLINK("https://zfin.org/ZDB-GENE-040310-2")</f>
        <v>https://zfin.org/ZDB-GENE-040310-2</v>
      </c>
      <c r="K28" t="s">
        <v>90</v>
      </c>
    </row>
    <row r="29" spans="1:11" x14ac:dyDescent="0.2">
      <c r="A29">
        <v>1.5923012719571798E-160</v>
      </c>
      <c r="B29">
        <v>1.25040120983656</v>
      </c>
      <c r="C29">
        <v>0.84199999999999997</v>
      </c>
      <c r="D29">
        <v>4.4999999999999998E-2</v>
      </c>
      <c r="E29">
        <v>2.4653600593712998E-156</v>
      </c>
      <c r="F29">
        <v>1</v>
      </c>
      <c r="G29" t="s">
        <v>91</v>
      </c>
      <c r="H29" t="s">
        <v>92</v>
      </c>
      <c r="I29" t="s">
        <v>91</v>
      </c>
      <c r="J29" s="1" t="str">
        <f>HYPERLINK("https://zfin.org/")</f>
        <v>https://zfin.org/</v>
      </c>
      <c r="K29" t="s">
        <v>93</v>
      </c>
    </row>
    <row r="30" spans="1:11" x14ac:dyDescent="0.2">
      <c r="A30">
        <v>3.2039875808611001E-160</v>
      </c>
      <c r="B30">
        <v>1.0488633520981101</v>
      </c>
      <c r="C30">
        <v>0.73699999999999999</v>
      </c>
      <c r="D30">
        <v>2.5999999999999999E-2</v>
      </c>
      <c r="E30">
        <v>4.9607339714472401E-156</v>
      </c>
      <c r="F30">
        <v>1</v>
      </c>
      <c r="G30" t="s">
        <v>94</v>
      </c>
      <c r="H30" t="s">
        <v>95</v>
      </c>
      <c r="I30" t="s">
        <v>94</v>
      </c>
      <c r="J30" s="1" t="str">
        <f>HYPERLINK("https://zfin.org/ZDB-GENE-070410-98")</f>
        <v>https://zfin.org/ZDB-GENE-070410-98</v>
      </c>
      <c r="K30" t="s">
        <v>96</v>
      </c>
    </row>
    <row r="31" spans="1:11" x14ac:dyDescent="0.2">
      <c r="A31">
        <v>5.8259565175427997E-160</v>
      </c>
      <c r="B31">
        <v>1.23022161469699</v>
      </c>
      <c r="C31">
        <v>0.70199999999999996</v>
      </c>
      <c r="D31">
        <v>2.1000000000000001E-2</v>
      </c>
      <c r="E31">
        <v>9.0203284761115205E-156</v>
      </c>
      <c r="F31">
        <v>1</v>
      </c>
      <c r="G31" t="s">
        <v>97</v>
      </c>
      <c r="H31" t="s">
        <v>98</v>
      </c>
      <c r="I31" t="s">
        <v>97</v>
      </c>
      <c r="J31" s="1" t="str">
        <f>HYPERLINK("https://zfin.org/ZDB-GENE-081028-50")</f>
        <v>https://zfin.org/ZDB-GENE-081028-50</v>
      </c>
      <c r="K31" t="s">
        <v>99</v>
      </c>
    </row>
    <row r="32" spans="1:11" x14ac:dyDescent="0.2">
      <c r="A32">
        <v>3.9144272859165302E-159</v>
      </c>
      <c r="B32">
        <v>1.13862378697478</v>
      </c>
      <c r="C32">
        <v>0.71099999999999997</v>
      </c>
      <c r="D32">
        <v>2.3E-2</v>
      </c>
      <c r="E32">
        <v>6.0607077667845599E-155</v>
      </c>
      <c r="F32">
        <v>1</v>
      </c>
      <c r="G32" t="s">
        <v>100</v>
      </c>
      <c r="H32" t="s">
        <v>101</v>
      </c>
      <c r="I32" t="s">
        <v>100</v>
      </c>
      <c r="J32" s="1" t="str">
        <f>HYPERLINK("https://zfin.org/ZDB-GENE-060825-242")</f>
        <v>https://zfin.org/ZDB-GENE-060825-242</v>
      </c>
      <c r="K32" t="s">
        <v>102</v>
      </c>
    </row>
    <row r="33" spans="1:11" x14ac:dyDescent="0.2">
      <c r="A33">
        <v>7.8141702651974195E-159</v>
      </c>
      <c r="B33">
        <v>1.1635296552210701</v>
      </c>
      <c r="C33">
        <v>0.56100000000000005</v>
      </c>
      <c r="D33">
        <v>6.0000000000000001E-3</v>
      </c>
      <c r="E33">
        <v>1.20986798216052E-154</v>
      </c>
      <c r="F33">
        <v>1</v>
      </c>
      <c r="G33" t="s">
        <v>103</v>
      </c>
      <c r="H33" t="s">
        <v>104</v>
      </c>
      <c r="I33" t="s">
        <v>103</v>
      </c>
      <c r="J33" s="1" t="str">
        <f>HYPERLINK("https://zfin.org/ZDB-GENE-090313-35")</f>
        <v>https://zfin.org/ZDB-GENE-090313-35</v>
      </c>
      <c r="K33" t="s">
        <v>105</v>
      </c>
    </row>
    <row r="34" spans="1:11" x14ac:dyDescent="0.2">
      <c r="A34">
        <v>3.8287030995517296E-158</v>
      </c>
      <c r="B34">
        <v>0.95704759849195098</v>
      </c>
      <c r="C34">
        <v>0.58799999999999997</v>
      </c>
      <c r="D34">
        <v>8.9999999999999993E-3</v>
      </c>
      <c r="E34">
        <v>5.9279810090359503E-154</v>
      </c>
      <c r="F34">
        <v>1</v>
      </c>
      <c r="G34" t="s">
        <v>106</v>
      </c>
      <c r="H34" t="s">
        <v>107</v>
      </c>
      <c r="I34" t="s">
        <v>106</v>
      </c>
      <c r="J34" s="1" t="str">
        <f>HYPERLINK("https://zfin.org/ZDB-GENE-131127-65")</f>
        <v>https://zfin.org/ZDB-GENE-131127-65</v>
      </c>
      <c r="K34" t="s">
        <v>108</v>
      </c>
    </row>
    <row r="35" spans="1:11" x14ac:dyDescent="0.2">
      <c r="A35">
        <v>8.2250079958210597E-158</v>
      </c>
      <c r="B35">
        <v>1.0602884691898999</v>
      </c>
      <c r="C35">
        <v>0.77200000000000002</v>
      </c>
      <c r="D35">
        <v>3.2000000000000001E-2</v>
      </c>
      <c r="E35">
        <v>1.2734779879929701E-153</v>
      </c>
      <c r="F35">
        <v>1</v>
      </c>
      <c r="G35" t="s">
        <v>109</v>
      </c>
      <c r="H35" t="s">
        <v>110</v>
      </c>
      <c r="I35" t="s">
        <v>109</v>
      </c>
      <c r="J35" s="1" t="str">
        <f>HYPERLINK("https://zfin.org/ZDB-GENE-041114-100")</f>
        <v>https://zfin.org/ZDB-GENE-041114-100</v>
      </c>
      <c r="K35" t="s">
        <v>111</v>
      </c>
    </row>
    <row r="36" spans="1:11" x14ac:dyDescent="0.2">
      <c r="A36">
        <v>1.4665126493103601E-157</v>
      </c>
      <c r="B36">
        <v>1.26419313772084</v>
      </c>
      <c r="C36">
        <v>0.77200000000000002</v>
      </c>
      <c r="D36">
        <v>3.3000000000000002E-2</v>
      </c>
      <c r="E36">
        <v>2.2706015349272301E-153</v>
      </c>
      <c r="F36">
        <v>1</v>
      </c>
      <c r="G36" t="s">
        <v>112</v>
      </c>
      <c r="H36" t="s">
        <v>113</v>
      </c>
      <c r="I36" t="s">
        <v>112</v>
      </c>
      <c r="J36" s="1" t="str">
        <f>HYPERLINK("https://zfin.org/ZDB-GENE-041014-83")</f>
        <v>https://zfin.org/ZDB-GENE-041014-83</v>
      </c>
      <c r="K36" t="s">
        <v>114</v>
      </c>
    </row>
    <row r="37" spans="1:11" x14ac:dyDescent="0.2">
      <c r="A37">
        <v>2.9549935234240503E-157</v>
      </c>
      <c r="B37">
        <v>1.0606401977756199</v>
      </c>
      <c r="C37">
        <v>0.754</v>
      </c>
      <c r="D37">
        <v>0.03</v>
      </c>
      <c r="E37">
        <v>4.5752164723174601E-153</v>
      </c>
      <c r="F37">
        <v>1</v>
      </c>
      <c r="G37" t="s">
        <v>115</v>
      </c>
      <c r="H37" t="s">
        <v>116</v>
      </c>
      <c r="I37" t="s">
        <v>115</v>
      </c>
      <c r="J37" s="1" t="str">
        <f>HYPERLINK("https://zfin.org/ZDB-GENE-050417-327")</f>
        <v>https://zfin.org/ZDB-GENE-050417-327</v>
      </c>
      <c r="K37" t="s">
        <v>117</v>
      </c>
    </row>
    <row r="38" spans="1:11" x14ac:dyDescent="0.2">
      <c r="A38">
        <v>3.3689935378465503E-157</v>
      </c>
      <c r="B38">
        <v>1.5819815919923499</v>
      </c>
      <c r="C38">
        <v>0.60499999999999998</v>
      </c>
      <c r="D38">
        <v>1.0999999999999999E-2</v>
      </c>
      <c r="E38">
        <v>5.2162126946478102E-153</v>
      </c>
      <c r="F38">
        <v>1</v>
      </c>
      <c r="G38" t="s">
        <v>118</v>
      </c>
      <c r="H38" t="s">
        <v>119</v>
      </c>
      <c r="I38" t="s">
        <v>118</v>
      </c>
      <c r="J38" s="1" t="str">
        <f>HYPERLINK("https://zfin.org/")</f>
        <v>https://zfin.org/</v>
      </c>
    </row>
    <row r="39" spans="1:11" x14ac:dyDescent="0.2">
      <c r="A39">
        <v>9.6761500745915603E-156</v>
      </c>
      <c r="B39">
        <v>1.3465569867609399</v>
      </c>
      <c r="C39">
        <v>0.83299999999999996</v>
      </c>
      <c r="D39">
        <v>4.3999999999999997E-2</v>
      </c>
      <c r="E39">
        <v>1.49815831604901E-151</v>
      </c>
      <c r="F39">
        <v>1</v>
      </c>
      <c r="G39" t="s">
        <v>120</v>
      </c>
      <c r="H39" t="s">
        <v>121</v>
      </c>
      <c r="I39" t="s">
        <v>120</v>
      </c>
      <c r="J39" s="1" t="str">
        <f>HYPERLINK("https://zfin.org/ZDB-GENE-001212-8")</f>
        <v>https://zfin.org/ZDB-GENE-001212-8</v>
      </c>
      <c r="K39" t="s">
        <v>122</v>
      </c>
    </row>
    <row r="40" spans="1:11" x14ac:dyDescent="0.2">
      <c r="A40">
        <v>6.9520883652683599E-154</v>
      </c>
      <c r="B40">
        <v>2.0655940735443599</v>
      </c>
      <c r="C40">
        <v>0.94699999999999995</v>
      </c>
      <c r="D40">
        <v>8.2000000000000003E-2</v>
      </c>
      <c r="E40">
        <v>1.0763918415945E-149</v>
      </c>
      <c r="F40">
        <v>1</v>
      </c>
      <c r="G40" t="s">
        <v>123</v>
      </c>
      <c r="H40" t="s">
        <v>124</v>
      </c>
      <c r="I40" t="s">
        <v>123</v>
      </c>
      <c r="J40" s="1" t="str">
        <f>HYPERLINK("https://zfin.org/ZDB-GENE-050522-319")</f>
        <v>https://zfin.org/ZDB-GENE-050522-319</v>
      </c>
      <c r="K40" t="s">
        <v>125</v>
      </c>
    </row>
    <row r="41" spans="1:11" x14ac:dyDescent="0.2">
      <c r="A41">
        <v>3.1867041723525302E-153</v>
      </c>
      <c r="B41">
        <v>0.95788748693716297</v>
      </c>
      <c r="C41">
        <v>0.71899999999999997</v>
      </c>
      <c r="D41">
        <v>2.7E-2</v>
      </c>
      <c r="E41">
        <v>4.9339740700534198E-149</v>
      </c>
      <c r="F41">
        <v>1</v>
      </c>
      <c r="G41" t="s">
        <v>126</v>
      </c>
      <c r="H41" t="s">
        <v>127</v>
      </c>
      <c r="I41" t="s">
        <v>126</v>
      </c>
      <c r="J41" s="1" t="str">
        <f>HYPERLINK("https://zfin.org/ZDB-GENE-070424-269")</f>
        <v>https://zfin.org/ZDB-GENE-070424-269</v>
      </c>
      <c r="K41" t="s">
        <v>128</v>
      </c>
    </row>
    <row r="42" spans="1:11" x14ac:dyDescent="0.2">
      <c r="A42">
        <v>5.3669864299597199E-153</v>
      </c>
      <c r="B42">
        <v>1.60836598172973</v>
      </c>
      <c r="C42">
        <v>0.93899999999999995</v>
      </c>
      <c r="D42">
        <v>7.1999999999999995E-2</v>
      </c>
      <c r="E42">
        <v>8.3097050895066394E-149</v>
      </c>
      <c r="F42">
        <v>1</v>
      </c>
      <c r="G42" t="s">
        <v>129</v>
      </c>
      <c r="H42" t="s">
        <v>130</v>
      </c>
      <c r="I42" t="s">
        <v>129</v>
      </c>
      <c r="J42" s="1" t="str">
        <f>HYPERLINK("https://zfin.org/ZDB-GENE-131127-514")</f>
        <v>https://zfin.org/ZDB-GENE-131127-514</v>
      </c>
      <c r="K42" t="s">
        <v>131</v>
      </c>
    </row>
    <row r="43" spans="1:11" x14ac:dyDescent="0.2">
      <c r="A43">
        <v>1.1510195198063099E-151</v>
      </c>
      <c r="B43">
        <v>1.80311909798869</v>
      </c>
      <c r="C43">
        <v>0.96499999999999997</v>
      </c>
      <c r="D43">
        <v>8.4000000000000005E-2</v>
      </c>
      <c r="E43">
        <v>1.78212352251611E-147</v>
      </c>
      <c r="F43">
        <v>1</v>
      </c>
      <c r="G43" t="s">
        <v>132</v>
      </c>
      <c r="H43" t="s">
        <v>133</v>
      </c>
      <c r="I43" t="s">
        <v>132</v>
      </c>
      <c r="J43" s="1" t="str">
        <f>HYPERLINK("https://zfin.org/ZDB-GENE-050522-238")</f>
        <v>https://zfin.org/ZDB-GENE-050522-238</v>
      </c>
      <c r="K43" t="s">
        <v>134</v>
      </c>
    </row>
    <row r="44" spans="1:11" x14ac:dyDescent="0.2">
      <c r="A44">
        <v>2.60749971771687E-151</v>
      </c>
      <c r="B44">
        <v>1.1785237203460299</v>
      </c>
      <c r="C44">
        <v>0.746</v>
      </c>
      <c r="D44">
        <v>3.2000000000000001E-2</v>
      </c>
      <c r="E44">
        <v>4.0371918129410399E-147</v>
      </c>
      <c r="F44">
        <v>1</v>
      </c>
      <c r="G44" t="s">
        <v>135</v>
      </c>
      <c r="H44" t="s">
        <v>136</v>
      </c>
      <c r="I44" t="s">
        <v>135</v>
      </c>
      <c r="J44" s="1" t="str">
        <f>HYPERLINK("https://zfin.org/ZDB-GENE-050522-534")</f>
        <v>https://zfin.org/ZDB-GENE-050522-534</v>
      </c>
      <c r="K44" t="s">
        <v>137</v>
      </c>
    </row>
    <row r="45" spans="1:11" x14ac:dyDescent="0.2">
      <c r="A45">
        <v>4.2521033495962402E-151</v>
      </c>
      <c r="B45">
        <v>2.25479285201367</v>
      </c>
      <c r="C45">
        <v>1</v>
      </c>
      <c r="D45">
        <v>0.11</v>
      </c>
      <c r="E45">
        <v>6.5835316161798597E-147</v>
      </c>
      <c r="F45">
        <v>1</v>
      </c>
      <c r="G45" t="s">
        <v>138</v>
      </c>
      <c r="H45" t="s">
        <v>139</v>
      </c>
      <c r="I45" t="s">
        <v>138</v>
      </c>
      <c r="J45" s="1" t="str">
        <f>HYPERLINK("https://zfin.org/ZDB-GENE-081022-9")</f>
        <v>https://zfin.org/ZDB-GENE-081022-9</v>
      </c>
      <c r="K45" t="s">
        <v>140</v>
      </c>
    </row>
    <row r="46" spans="1:11" x14ac:dyDescent="0.2">
      <c r="A46">
        <v>1.16190615375205E-150</v>
      </c>
      <c r="B46">
        <v>1.4977718903942501</v>
      </c>
      <c r="C46">
        <v>0.92100000000000004</v>
      </c>
      <c r="D46">
        <v>6.7000000000000004E-2</v>
      </c>
      <c r="E46">
        <v>1.7989792978543E-146</v>
      </c>
      <c r="F46">
        <v>1</v>
      </c>
      <c r="G46" t="s">
        <v>141</v>
      </c>
      <c r="H46" t="s">
        <v>142</v>
      </c>
      <c r="I46" t="s">
        <v>141</v>
      </c>
      <c r="J46" s="1" t="str">
        <f>HYPERLINK("https://zfin.org/ZDB-GENE-061013-378")</f>
        <v>https://zfin.org/ZDB-GENE-061013-378</v>
      </c>
      <c r="K46" t="s">
        <v>143</v>
      </c>
    </row>
    <row r="47" spans="1:11" x14ac:dyDescent="0.2">
      <c r="A47">
        <v>1.3737239605856901E-150</v>
      </c>
      <c r="B47">
        <v>0.89830123799732997</v>
      </c>
      <c r="C47">
        <v>0.64900000000000002</v>
      </c>
      <c r="D47">
        <v>1.7999999999999999E-2</v>
      </c>
      <c r="E47">
        <v>2.1269368081748302E-146</v>
      </c>
      <c r="F47">
        <v>1</v>
      </c>
      <c r="G47" t="s">
        <v>144</v>
      </c>
      <c r="H47" t="s">
        <v>145</v>
      </c>
      <c r="I47" t="s">
        <v>144</v>
      </c>
      <c r="J47" s="1" t="str">
        <f>HYPERLINK("https://zfin.org/ZDB-GENE-070705-179")</f>
        <v>https://zfin.org/ZDB-GENE-070705-179</v>
      </c>
      <c r="K47" t="s">
        <v>146</v>
      </c>
    </row>
    <row r="48" spans="1:11" x14ac:dyDescent="0.2">
      <c r="A48">
        <v>1.48174402341687E-150</v>
      </c>
      <c r="B48">
        <v>1.10197645850973</v>
      </c>
      <c r="C48">
        <v>0.746</v>
      </c>
      <c r="D48">
        <v>3.2000000000000001E-2</v>
      </c>
      <c r="E48">
        <v>2.2941842714563402E-146</v>
      </c>
      <c r="F48">
        <v>1</v>
      </c>
      <c r="G48" t="s">
        <v>147</v>
      </c>
      <c r="H48" t="s">
        <v>148</v>
      </c>
      <c r="I48" t="s">
        <v>147</v>
      </c>
      <c r="J48" s="1" t="str">
        <f>HYPERLINK("https://zfin.org/ZDB-GENE-041014-353")</f>
        <v>https://zfin.org/ZDB-GENE-041014-353</v>
      </c>
      <c r="K48" t="s">
        <v>149</v>
      </c>
    </row>
    <row r="49" spans="1:11" x14ac:dyDescent="0.2">
      <c r="A49">
        <v>5.7306632599755605E-150</v>
      </c>
      <c r="B49">
        <v>1.6243802282842901</v>
      </c>
      <c r="C49">
        <v>0.76300000000000001</v>
      </c>
      <c r="D49">
        <v>3.7999999999999999E-2</v>
      </c>
      <c r="E49">
        <v>8.8727859254201497E-146</v>
      </c>
      <c r="F49">
        <v>1</v>
      </c>
      <c r="G49" t="s">
        <v>150</v>
      </c>
      <c r="H49" t="s">
        <v>151</v>
      </c>
      <c r="I49" t="s">
        <v>150</v>
      </c>
      <c r="J49" s="1" t="str">
        <f>HYPERLINK("https://zfin.org/ZDB-GENE-080130-2")</f>
        <v>https://zfin.org/ZDB-GENE-080130-2</v>
      </c>
      <c r="K49" t="s">
        <v>152</v>
      </c>
    </row>
    <row r="50" spans="1:11" x14ac:dyDescent="0.2">
      <c r="A50">
        <v>1.2038496158296101E-149</v>
      </c>
      <c r="B50">
        <v>0.95528042470792496</v>
      </c>
      <c r="C50">
        <v>0.64900000000000002</v>
      </c>
      <c r="D50">
        <v>1.7999999999999999E-2</v>
      </c>
      <c r="E50">
        <v>1.8639203601889898E-145</v>
      </c>
      <c r="F50">
        <v>1</v>
      </c>
      <c r="G50" t="s">
        <v>153</v>
      </c>
      <c r="H50" t="s">
        <v>154</v>
      </c>
      <c r="I50" t="s">
        <v>153</v>
      </c>
      <c r="J50" s="1" t="str">
        <f>HYPERLINK("https://zfin.org/ZDB-GENE-060526-175")</f>
        <v>https://zfin.org/ZDB-GENE-060526-175</v>
      </c>
      <c r="K50" t="s">
        <v>155</v>
      </c>
    </row>
    <row r="51" spans="1:11" x14ac:dyDescent="0.2">
      <c r="A51">
        <v>3.3739092820886999E-148</v>
      </c>
      <c r="B51">
        <v>1.0176530245647799</v>
      </c>
      <c r="C51">
        <v>0.76300000000000001</v>
      </c>
      <c r="D51">
        <v>3.5999999999999997E-2</v>
      </c>
      <c r="E51">
        <v>5.2238237414579402E-144</v>
      </c>
      <c r="F51">
        <v>1</v>
      </c>
      <c r="G51" t="s">
        <v>156</v>
      </c>
      <c r="H51" t="s">
        <v>157</v>
      </c>
      <c r="I51" t="s">
        <v>156</v>
      </c>
      <c r="J51" s="1" t="str">
        <f>HYPERLINK("https://zfin.org/ZDB-GENE-030131-4127")</f>
        <v>https://zfin.org/ZDB-GENE-030131-4127</v>
      </c>
      <c r="K51" t="s">
        <v>158</v>
      </c>
    </row>
    <row r="52" spans="1:11" x14ac:dyDescent="0.2">
      <c r="A52">
        <v>3.89997746378023E-148</v>
      </c>
      <c r="B52">
        <v>0.97088194546650397</v>
      </c>
      <c r="C52">
        <v>0.59599999999999997</v>
      </c>
      <c r="D52">
        <v>1.2999999999999999E-2</v>
      </c>
      <c r="E52">
        <v>6.0383351071709199E-144</v>
      </c>
      <c r="F52">
        <v>1</v>
      </c>
      <c r="G52" t="s">
        <v>159</v>
      </c>
      <c r="H52" t="s">
        <v>160</v>
      </c>
      <c r="I52" t="s">
        <v>159</v>
      </c>
      <c r="J52" s="1" t="str">
        <f>HYPERLINK("https://zfin.org/ZDB-GENE-131121-219")</f>
        <v>https://zfin.org/ZDB-GENE-131121-219</v>
      </c>
      <c r="K52" t="s">
        <v>161</v>
      </c>
    </row>
    <row r="53" spans="1:11" x14ac:dyDescent="0.2">
      <c r="A53">
        <v>1.02938092041606E-147</v>
      </c>
      <c r="B53">
        <v>1.0837373922590099</v>
      </c>
      <c r="C53">
        <v>0.77200000000000002</v>
      </c>
      <c r="D53">
        <v>3.6999999999999998E-2</v>
      </c>
      <c r="E53">
        <v>1.5937904790801799E-143</v>
      </c>
      <c r="F53">
        <v>1</v>
      </c>
      <c r="G53" t="s">
        <v>162</v>
      </c>
      <c r="H53" t="s">
        <v>163</v>
      </c>
      <c r="I53" t="s">
        <v>162</v>
      </c>
      <c r="J53" s="1" t="str">
        <f>HYPERLINK("https://zfin.org/ZDB-GENE-040718-221")</f>
        <v>https://zfin.org/ZDB-GENE-040718-221</v>
      </c>
      <c r="K53" t="s">
        <v>164</v>
      </c>
    </row>
    <row r="54" spans="1:11" x14ac:dyDescent="0.2">
      <c r="A54">
        <v>1.2405596930477999E-147</v>
      </c>
      <c r="B54">
        <v>0.98893743720155702</v>
      </c>
      <c r="C54">
        <v>0.68400000000000005</v>
      </c>
      <c r="D54">
        <v>2.4E-2</v>
      </c>
      <c r="E54">
        <v>1.9207585727459201E-143</v>
      </c>
      <c r="F54">
        <v>1</v>
      </c>
      <c r="G54" t="s">
        <v>165</v>
      </c>
      <c r="H54" t="s">
        <v>166</v>
      </c>
      <c r="I54" t="s">
        <v>165</v>
      </c>
      <c r="J54" s="1" t="str">
        <f>HYPERLINK("https://zfin.org/ZDB-GENE-131105-1")</f>
        <v>https://zfin.org/ZDB-GENE-131105-1</v>
      </c>
      <c r="K54" t="s">
        <v>167</v>
      </c>
    </row>
    <row r="55" spans="1:11" x14ac:dyDescent="0.2">
      <c r="A55">
        <v>2.16486785843409E-147</v>
      </c>
      <c r="B55">
        <v>0.94705520217099504</v>
      </c>
      <c r="C55">
        <v>0.72799999999999998</v>
      </c>
      <c r="D55">
        <v>0.03</v>
      </c>
      <c r="E55">
        <v>3.3518649052135001E-143</v>
      </c>
      <c r="F55">
        <v>1</v>
      </c>
      <c r="G55" t="s">
        <v>168</v>
      </c>
      <c r="H55" t="s">
        <v>169</v>
      </c>
      <c r="I55" t="s">
        <v>168</v>
      </c>
      <c r="J55" s="1" t="str">
        <f>HYPERLINK("https://zfin.org/ZDB-GENE-070705-453")</f>
        <v>https://zfin.org/ZDB-GENE-070705-453</v>
      </c>
      <c r="K55" t="s">
        <v>170</v>
      </c>
    </row>
    <row r="56" spans="1:11" x14ac:dyDescent="0.2">
      <c r="A56">
        <v>6.1859206188016703E-146</v>
      </c>
      <c r="B56">
        <v>0.94786544715379095</v>
      </c>
      <c r="C56">
        <v>0.68400000000000005</v>
      </c>
      <c r="D56">
        <v>2.4E-2</v>
      </c>
      <c r="E56">
        <v>9.57766089409063E-142</v>
      </c>
      <c r="F56">
        <v>1</v>
      </c>
      <c r="G56" t="s">
        <v>171</v>
      </c>
      <c r="H56" t="s">
        <v>172</v>
      </c>
      <c r="I56" t="s">
        <v>171</v>
      </c>
      <c r="J56" s="1" t="str">
        <f>HYPERLINK("https://zfin.org/ZDB-GENE-041014-39")</f>
        <v>https://zfin.org/ZDB-GENE-041014-39</v>
      </c>
      <c r="K56" t="s">
        <v>173</v>
      </c>
    </row>
    <row r="57" spans="1:11" x14ac:dyDescent="0.2">
      <c r="A57">
        <v>7.1724268225947198E-146</v>
      </c>
      <c r="B57">
        <v>1.2266866331467099</v>
      </c>
      <c r="C57">
        <v>0.68400000000000005</v>
      </c>
      <c r="D57">
        <v>2.5999999999999999E-2</v>
      </c>
      <c r="E57">
        <v>1.1105068449423399E-141</v>
      </c>
      <c r="F57">
        <v>1</v>
      </c>
      <c r="G57" t="s">
        <v>174</v>
      </c>
      <c r="H57" t="s">
        <v>175</v>
      </c>
      <c r="I57" t="s">
        <v>174</v>
      </c>
      <c r="J57" s="1" t="str">
        <f>HYPERLINK("https://zfin.org/ZDB-GENE-131127-474")</f>
        <v>https://zfin.org/ZDB-GENE-131127-474</v>
      </c>
      <c r="K57" t="s">
        <v>176</v>
      </c>
    </row>
    <row r="58" spans="1:11" x14ac:dyDescent="0.2">
      <c r="A58">
        <v>5.8297701366224799E-144</v>
      </c>
      <c r="B58">
        <v>0.92625347007884795</v>
      </c>
      <c r="C58">
        <v>0.54400000000000004</v>
      </c>
      <c r="D58">
        <v>8.9999999999999993E-3</v>
      </c>
      <c r="E58">
        <v>9.0262331025325895E-140</v>
      </c>
      <c r="F58">
        <v>1</v>
      </c>
      <c r="G58" t="s">
        <v>177</v>
      </c>
      <c r="H58" t="s">
        <v>178</v>
      </c>
      <c r="I58" t="s">
        <v>177</v>
      </c>
      <c r="J58" s="1" t="str">
        <f>HYPERLINK("https://zfin.org/ZDB-GENE-090313-53")</f>
        <v>https://zfin.org/ZDB-GENE-090313-53</v>
      </c>
      <c r="K58" t="s">
        <v>179</v>
      </c>
    </row>
    <row r="59" spans="1:11" x14ac:dyDescent="0.2">
      <c r="A59">
        <v>9.6610617212164795E-144</v>
      </c>
      <c r="B59">
        <v>1.6649380824248201</v>
      </c>
      <c r="C59">
        <v>0.93899999999999995</v>
      </c>
      <c r="D59">
        <v>8.5000000000000006E-2</v>
      </c>
      <c r="E59">
        <v>1.4958221862959499E-139</v>
      </c>
      <c r="F59">
        <v>1</v>
      </c>
      <c r="G59" t="s">
        <v>180</v>
      </c>
      <c r="H59" t="s">
        <v>181</v>
      </c>
      <c r="I59" t="s">
        <v>180</v>
      </c>
      <c r="J59" s="1" t="str">
        <f>HYPERLINK("https://zfin.org/ZDB-GENE-050320-33")</f>
        <v>https://zfin.org/ZDB-GENE-050320-33</v>
      </c>
      <c r="K59" t="s">
        <v>182</v>
      </c>
    </row>
    <row r="60" spans="1:11" x14ac:dyDescent="0.2">
      <c r="A60">
        <v>2.4962363939154599E-142</v>
      </c>
      <c r="B60">
        <v>0.795261579862233</v>
      </c>
      <c r="C60">
        <v>0.56100000000000005</v>
      </c>
      <c r="D60">
        <v>1.0999999999999999E-2</v>
      </c>
      <c r="E60">
        <v>3.86492280869931E-138</v>
      </c>
      <c r="F60">
        <v>1</v>
      </c>
      <c r="G60" t="s">
        <v>183</v>
      </c>
      <c r="H60" t="s">
        <v>184</v>
      </c>
      <c r="I60" t="s">
        <v>183</v>
      </c>
      <c r="J60" s="1" t="str">
        <f>HYPERLINK("https://zfin.org/ZDB-GENE-060503-339")</f>
        <v>https://zfin.org/ZDB-GENE-060503-339</v>
      </c>
      <c r="K60" t="s">
        <v>185</v>
      </c>
    </row>
    <row r="61" spans="1:11" x14ac:dyDescent="0.2">
      <c r="A61">
        <v>3.0834869580457101E-142</v>
      </c>
      <c r="B61">
        <v>0.81303188530785897</v>
      </c>
      <c r="C61">
        <v>0.56999999999999995</v>
      </c>
      <c r="D61">
        <v>1.2E-2</v>
      </c>
      <c r="E61">
        <v>4.7741628571421699E-138</v>
      </c>
      <c r="F61">
        <v>1</v>
      </c>
      <c r="G61" t="s">
        <v>186</v>
      </c>
      <c r="H61" t="s">
        <v>187</v>
      </c>
      <c r="I61" t="s">
        <v>186</v>
      </c>
      <c r="J61" s="1" t="str">
        <f>HYPERLINK("https://zfin.org/ZDB-GENE-091113-18")</f>
        <v>https://zfin.org/ZDB-GENE-091113-18</v>
      </c>
      <c r="K61" t="s">
        <v>188</v>
      </c>
    </row>
    <row r="62" spans="1:11" x14ac:dyDescent="0.2">
      <c r="A62">
        <v>1.4063512276097899E-141</v>
      </c>
      <c r="B62">
        <v>1.1349785979501299</v>
      </c>
      <c r="C62">
        <v>0.754</v>
      </c>
      <c r="D62">
        <v>3.7999999999999999E-2</v>
      </c>
      <c r="E62">
        <v>2.1774536057082401E-137</v>
      </c>
      <c r="F62">
        <v>1</v>
      </c>
      <c r="G62" t="s">
        <v>189</v>
      </c>
      <c r="H62" t="s">
        <v>190</v>
      </c>
      <c r="I62" t="s">
        <v>189</v>
      </c>
      <c r="J62" s="1" t="str">
        <f>HYPERLINK("https://zfin.org/ZDB-GENE-040426-1804")</f>
        <v>https://zfin.org/ZDB-GENE-040426-1804</v>
      </c>
      <c r="K62" t="s">
        <v>191</v>
      </c>
    </row>
    <row r="63" spans="1:11" x14ac:dyDescent="0.2">
      <c r="A63">
        <v>1.15758606852355E-140</v>
      </c>
      <c r="B63">
        <v>1.2303047341665201</v>
      </c>
      <c r="C63">
        <v>0.78900000000000003</v>
      </c>
      <c r="D63">
        <v>4.4999999999999998E-2</v>
      </c>
      <c r="E63">
        <v>1.7922905098950099E-136</v>
      </c>
      <c r="F63">
        <v>1</v>
      </c>
      <c r="G63" t="s">
        <v>192</v>
      </c>
      <c r="H63" t="s">
        <v>193</v>
      </c>
      <c r="I63" t="s">
        <v>192</v>
      </c>
      <c r="J63" s="1" t="str">
        <f>HYPERLINK("https://zfin.org/ZDB-GENE-141219-8")</f>
        <v>https://zfin.org/ZDB-GENE-141219-8</v>
      </c>
      <c r="K63" t="s">
        <v>194</v>
      </c>
    </row>
    <row r="64" spans="1:11" x14ac:dyDescent="0.2">
      <c r="A64">
        <v>3.1727110819676601E-140</v>
      </c>
      <c r="B64">
        <v>2.32611780661074</v>
      </c>
      <c r="C64">
        <v>0.98199999999999998</v>
      </c>
      <c r="D64">
        <v>0.11899999999999999</v>
      </c>
      <c r="E64">
        <v>4.9123085682105199E-136</v>
      </c>
      <c r="F64">
        <v>1</v>
      </c>
      <c r="G64" t="s">
        <v>195</v>
      </c>
      <c r="H64" t="s">
        <v>196</v>
      </c>
      <c r="I64" t="s">
        <v>195</v>
      </c>
      <c r="J64" s="1" t="str">
        <f>HYPERLINK("https://zfin.org/ZDB-GENE-131121-321")</f>
        <v>https://zfin.org/ZDB-GENE-131121-321</v>
      </c>
      <c r="K64" t="s">
        <v>197</v>
      </c>
    </row>
    <row r="65" spans="1:11" x14ac:dyDescent="0.2">
      <c r="A65">
        <v>3.91819028407952E-140</v>
      </c>
      <c r="B65">
        <v>1.2307802815073099</v>
      </c>
      <c r="C65">
        <v>0.81599999999999995</v>
      </c>
      <c r="D65">
        <v>5.2999999999999999E-2</v>
      </c>
      <c r="E65">
        <v>6.0665340168403098E-136</v>
      </c>
      <c r="F65">
        <v>1</v>
      </c>
      <c r="G65" t="s">
        <v>198</v>
      </c>
      <c r="H65" t="s">
        <v>199</v>
      </c>
      <c r="I65" t="s">
        <v>198</v>
      </c>
      <c r="J65" s="1" t="str">
        <f>HYPERLINK("https://zfin.org/ZDB-GENE-030131-7806")</f>
        <v>https://zfin.org/ZDB-GENE-030131-7806</v>
      </c>
      <c r="K65" t="s">
        <v>200</v>
      </c>
    </row>
    <row r="66" spans="1:11" x14ac:dyDescent="0.2">
      <c r="A66">
        <v>6.1769102368362898E-140</v>
      </c>
      <c r="B66">
        <v>1.18742798709465</v>
      </c>
      <c r="C66">
        <v>0.85099999999999998</v>
      </c>
      <c r="D66">
        <v>5.8000000000000003E-2</v>
      </c>
      <c r="E66">
        <v>9.5637101196936299E-136</v>
      </c>
      <c r="F66">
        <v>1</v>
      </c>
      <c r="G66" t="s">
        <v>201</v>
      </c>
      <c r="H66" t="s">
        <v>202</v>
      </c>
      <c r="I66" t="s">
        <v>201</v>
      </c>
      <c r="J66" s="1" t="str">
        <f>HYPERLINK("https://zfin.org/ZDB-GENE-060929-998")</f>
        <v>https://zfin.org/ZDB-GENE-060929-998</v>
      </c>
      <c r="K66" t="s">
        <v>203</v>
      </c>
    </row>
    <row r="67" spans="1:11" x14ac:dyDescent="0.2">
      <c r="A67">
        <v>1.65616491342011E-139</v>
      </c>
      <c r="B67">
        <v>1.3102486422417901</v>
      </c>
      <c r="C67">
        <v>0.754</v>
      </c>
      <c r="D67">
        <v>4.1000000000000002E-2</v>
      </c>
      <c r="E67">
        <v>2.5642401354483599E-135</v>
      </c>
      <c r="F67">
        <v>1</v>
      </c>
      <c r="G67" t="s">
        <v>204</v>
      </c>
      <c r="H67" t="s">
        <v>205</v>
      </c>
      <c r="I67" t="s">
        <v>204</v>
      </c>
      <c r="J67" s="1" t="str">
        <f>HYPERLINK("https://zfin.org/ZDB-GENE-081022-199")</f>
        <v>https://zfin.org/ZDB-GENE-081022-199</v>
      </c>
      <c r="K67" t="s">
        <v>206</v>
      </c>
    </row>
    <row r="68" spans="1:11" x14ac:dyDescent="0.2">
      <c r="A68">
        <v>1.7500110668974899E-139</v>
      </c>
      <c r="B68">
        <v>0.93036591182515704</v>
      </c>
      <c r="C68">
        <v>0.69299999999999995</v>
      </c>
      <c r="D68">
        <v>2.9000000000000001E-2</v>
      </c>
      <c r="E68">
        <v>2.70954213487738E-135</v>
      </c>
      <c r="F68">
        <v>1</v>
      </c>
      <c r="G68" t="s">
        <v>207</v>
      </c>
      <c r="H68" t="s">
        <v>208</v>
      </c>
      <c r="I68" t="s">
        <v>207</v>
      </c>
      <c r="J68" s="1" t="str">
        <f>HYPERLINK("https://zfin.org/ZDB-GENE-061013-787")</f>
        <v>https://zfin.org/ZDB-GENE-061013-787</v>
      </c>
      <c r="K68" t="s">
        <v>209</v>
      </c>
    </row>
    <row r="69" spans="1:11" x14ac:dyDescent="0.2">
      <c r="A69">
        <v>2.2077546024884701E-139</v>
      </c>
      <c r="B69">
        <v>1.28958123567667</v>
      </c>
      <c r="C69">
        <v>0.70199999999999996</v>
      </c>
      <c r="D69">
        <v>3.2000000000000001E-2</v>
      </c>
      <c r="E69">
        <v>3.4182664510329E-135</v>
      </c>
      <c r="F69">
        <v>1</v>
      </c>
      <c r="G69" t="s">
        <v>210</v>
      </c>
      <c r="H69" t="s">
        <v>211</v>
      </c>
      <c r="I69" t="s">
        <v>210</v>
      </c>
      <c r="J69" s="1" t="str">
        <f>HYPERLINK("https://zfin.org/ZDB-GENE-160113-73")</f>
        <v>https://zfin.org/ZDB-GENE-160113-73</v>
      </c>
      <c r="K69" t="s">
        <v>212</v>
      </c>
    </row>
    <row r="70" spans="1:11" x14ac:dyDescent="0.2">
      <c r="A70">
        <v>5.0185673387151698E-139</v>
      </c>
      <c r="B70">
        <v>0.85641596420806498</v>
      </c>
      <c r="C70">
        <v>0.58799999999999997</v>
      </c>
      <c r="D70">
        <v>1.4999999999999999E-2</v>
      </c>
      <c r="E70">
        <v>7.7702478105326999E-135</v>
      </c>
      <c r="F70">
        <v>1</v>
      </c>
      <c r="G70" t="s">
        <v>213</v>
      </c>
      <c r="H70" t="s">
        <v>214</v>
      </c>
      <c r="I70" t="s">
        <v>213</v>
      </c>
      <c r="J70" s="1" t="str">
        <f>HYPERLINK("https://zfin.org/ZDB-GENE-040426-1740")</f>
        <v>https://zfin.org/ZDB-GENE-040426-1740</v>
      </c>
      <c r="K70" t="s">
        <v>215</v>
      </c>
    </row>
    <row r="71" spans="1:11" x14ac:dyDescent="0.2">
      <c r="A71">
        <v>1.3186489992813E-138</v>
      </c>
      <c r="B71">
        <v>1.22107046532584</v>
      </c>
      <c r="C71">
        <v>0.63200000000000001</v>
      </c>
      <c r="D71">
        <v>2.1000000000000001E-2</v>
      </c>
      <c r="E71">
        <v>2.0416642455872401E-134</v>
      </c>
      <c r="F71">
        <v>1</v>
      </c>
      <c r="G71" t="s">
        <v>216</v>
      </c>
      <c r="H71" t="s">
        <v>217</v>
      </c>
      <c r="I71" t="s">
        <v>216</v>
      </c>
      <c r="J71" s="1" t="str">
        <f>HYPERLINK("https://zfin.org/ZDB-GENE-121214-339")</f>
        <v>https://zfin.org/ZDB-GENE-121214-339</v>
      </c>
      <c r="K71" t="s">
        <v>218</v>
      </c>
    </row>
    <row r="72" spans="1:11" x14ac:dyDescent="0.2">
      <c r="A72">
        <v>3.0773073811302799E-136</v>
      </c>
      <c r="B72">
        <v>2.2113419413588198</v>
      </c>
      <c r="C72">
        <v>0.97399999999999998</v>
      </c>
      <c r="D72">
        <v>0.11700000000000001</v>
      </c>
      <c r="E72">
        <v>4.7645950182040197E-132</v>
      </c>
      <c r="F72">
        <v>1</v>
      </c>
      <c r="G72" t="s">
        <v>219</v>
      </c>
      <c r="H72" t="s">
        <v>220</v>
      </c>
      <c r="I72" t="s">
        <v>219</v>
      </c>
      <c r="J72" s="1" t="str">
        <f>HYPERLINK("https://zfin.org/ZDB-GENE-030925-29")</f>
        <v>https://zfin.org/ZDB-GENE-030925-29</v>
      </c>
      <c r="K72" t="s">
        <v>221</v>
      </c>
    </row>
    <row r="73" spans="1:11" x14ac:dyDescent="0.2">
      <c r="A73">
        <v>3.9470468925635502E-136</v>
      </c>
      <c r="B73">
        <v>0.73871018738824901</v>
      </c>
      <c r="C73">
        <v>0.53500000000000003</v>
      </c>
      <c r="D73">
        <v>0.01</v>
      </c>
      <c r="E73">
        <v>6.1112127037561503E-132</v>
      </c>
      <c r="F73">
        <v>1</v>
      </c>
      <c r="G73" t="s">
        <v>222</v>
      </c>
      <c r="H73" t="s">
        <v>223</v>
      </c>
      <c r="I73" t="s">
        <v>222</v>
      </c>
      <c r="J73" s="1" t="str">
        <f>HYPERLINK("https://zfin.org/ZDB-GENE-040317-1")</f>
        <v>https://zfin.org/ZDB-GENE-040317-1</v>
      </c>
      <c r="K73" t="s">
        <v>224</v>
      </c>
    </row>
    <row r="74" spans="1:11" x14ac:dyDescent="0.2">
      <c r="A74">
        <v>8.1032160493037698E-136</v>
      </c>
      <c r="B74">
        <v>0.87585573274583095</v>
      </c>
      <c r="C74">
        <v>0.63200000000000001</v>
      </c>
      <c r="D74">
        <v>2.1999999999999999E-2</v>
      </c>
      <c r="E74">
        <v>1.2546209409136999E-131</v>
      </c>
      <c r="F74">
        <v>1</v>
      </c>
      <c r="G74" t="s">
        <v>225</v>
      </c>
      <c r="H74" t="s">
        <v>226</v>
      </c>
      <c r="I74" t="s">
        <v>225</v>
      </c>
      <c r="J74" s="1" t="str">
        <f>HYPERLINK("https://zfin.org/ZDB-GENE-050522-121")</f>
        <v>https://zfin.org/ZDB-GENE-050522-121</v>
      </c>
      <c r="K74" t="s">
        <v>227</v>
      </c>
    </row>
    <row r="75" spans="1:11" x14ac:dyDescent="0.2">
      <c r="A75">
        <v>6.8242310649379097E-135</v>
      </c>
      <c r="B75">
        <v>0.97878263474173799</v>
      </c>
      <c r="C75">
        <v>0.61399999999999999</v>
      </c>
      <c r="D75">
        <v>2.1000000000000001E-2</v>
      </c>
      <c r="E75">
        <v>1.05659569578434E-130</v>
      </c>
      <c r="F75">
        <v>1</v>
      </c>
      <c r="G75" t="s">
        <v>228</v>
      </c>
      <c r="H75" t="s">
        <v>229</v>
      </c>
      <c r="I75" t="s">
        <v>228</v>
      </c>
      <c r="J75" s="1" t="str">
        <f>HYPERLINK("https://zfin.org/ZDB-GENE-060929-1178")</f>
        <v>https://zfin.org/ZDB-GENE-060929-1178</v>
      </c>
      <c r="K75" t="s">
        <v>230</v>
      </c>
    </row>
    <row r="76" spans="1:11" x14ac:dyDescent="0.2">
      <c r="A76">
        <v>2.9083722584654598E-134</v>
      </c>
      <c r="B76">
        <v>1.5760819081450499</v>
      </c>
      <c r="C76">
        <v>0.94699999999999995</v>
      </c>
      <c r="D76">
        <v>9.1999999999999998E-2</v>
      </c>
      <c r="E76">
        <v>4.5030327677820797E-130</v>
      </c>
      <c r="F76">
        <v>1</v>
      </c>
      <c r="G76" t="s">
        <v>231</v>
      </c>
      <c r="H76" t="s">
        <v>232</v>
      </c>
      <c r="I76" t="s">
        <v>231</v>
      </c>
      <c r="J76" s="1" t="str">
        <f>HYPERLINK("https://zfin.org/ZDB-GENE-040426-1615")</f>
        <v>https://zfin.org/ZDB-GENE-040426-1615</v>
      </c>
      <c r="K76" t="s">
        <v>233</v>
      </c>
    </row>
    <row r="77" spans="1:11" x14ac:dyDescent="0.2">
      <c r="A77">
        <v>3.95159284022394E-134</v>
      </c>
      <c r="B77">
        <v>0.90133459996181398</v>
      </c>
      <c r="C77">
        <v>0.61399999999999999</v>
      </c>
      <c r="D77">
        <v>2.1000000000000001E-2</v>
      </c>
      <c r="E77">
        <v>6.1182511945187202E-130</v>
      </c>
      <c r="F77">
        <v>1</v>
      </c>
      <c r="G77" t="s">
        <v>234</v>
      </c>
      <c r="H77" t="s">
        <v>235</v>
      </c>
      <c r="I77" t="s">
        <v>234</v>
      </c>
      <c r="J77" s="1" t="str">
        <f>HYPERLINK("https://zfin.org/ZDB-GENE-160114-87")</f>
        <v>https://zfin.org/ZDB-GENE-160114-87</v>
      </c>
      <c r="K77" t="s">
        <v>236</v>
      </c>
    </row>
    <row r="78" spans="1:11" x14ac:dyDescent="0.2">
      <c r="A78">
        <v>5.7828849617173699E-134</v>
      </c>
      <c r="B78">
        <v>1.22075715238036</v>
      </c>
      <c r="C78">
        <v>0.80700000000000005</v>
      </c>
      <c r="D78">
        <v>5.3999999999999999E-2</v>
      </c>
      <c r="E78">
        <v>8.9536407862270102E-130</v>
      </c>
      <c r="F78">
        <v>1</v>
      </c>
      <c r="G78" t="s">
        <v>237</v>
      </c>
      <c r="H78" t="s">
        <v>238</v>
      </c>
      <c r="I78" t="s">
        <v>237</v>
      </c>
      <c r="J78" s="1" t="str">
        <f>HYPERLINK("https://zfin.org/ZDB-GENE-061027-74")</f>
        <v>https://zfin.org/ZDB-GENE-061027-74</v>
      </c>
      <c r="K78" t="s">
        <v>239</v>
      </c>
    </row>
    <row r="79" spans="1:11" x14ac:dyDescent="0.2">
      <c r="A79">
        <v>1.03714287605053E-132</v>
      </c>
      <c r="B79">
        <v>0.83874805855787105</v>
      </c>
      <c r="C79">
        <v>0.51800000000000002</v>
      </c>
      <c r="D79">
        <v>8.9999999999999993E-3</v>
      </c>
      <c r="E79">
        <v>1.6058083149890299E-128</v>
      </c>
      <c r="F79">
        <v>1</v>
      </c>
      <c r="G79" t="s">
        <v>240</v>
      </c>
      <c r="H79" t="s">
        <v>241</v>
      </c>
      <c r="I79" t="s">
        <v>240</v>
      </c>
      <c r="J79" s="1" t="str">
        <f>HYPERLINK("https://zfin.org/ZDB-GENE-110411-215")</f>
        <v>https://zfin.org/ZDB-GENE-110411-215</v>
      </c>
      <c r="K79" t="s">
        <v>242</v>
      </c>
    </row>
    <row r="80" spans="1:11" x14ac:dyDescent="0.2">
      <c r="A80">
        <v>3.1059120951298901E-132</v>
      </c>
      <c r="B80">
        <v>1.4688522398296799</v>
      </c>
      <c r="C80">
        <v>0.86</v>
      </c>
      <c r="D80">
        <v>7.1999999999999995E-2</v>
      </c>
      <c r="E80">
        <v>4.8088836968896001E-128</v>
      </c>
      <c r="F80">
        <v>1</v>
      </c>
      <c r="G80" t="s">
        <v>243</v>
      </c>
      <c r="H80" t="s">
        <v>244</v>
      </c>
      <c r="I80" t="s">
        <v>243</v>
      </c>
      <c r="J80" s="1" t="str">
        <f>HYPERLINK("https://zfin.org/ZDB-GENE-000412-1")</f>
        <v>https://zfin.org/ZDB-GENE-000412-1</v>
      </c>
      <c r="K80" t="s">
        <v>245</v>
      </c>
    </row>
    <row r="81" spans="1:11" x14ac:dyDescent="0.2">
      <c r="A81">
        <v>9.3266850450541297E-132</v>
      </c>
      <c r="B81">
        <v>3.1330517109991498</v>
      </c>
      <c r="C81">
        <v>1</v>
      </c>
      <c r="D81">
        <v>0.14699999999999999</v>
      </c>
      <c r="E81">
        <v>1.44405064552573E-127</v>
      </c>
      <c r="F81">
        <v>1</v>
      </c>
      <c r="G81" t="s">
        <v>246</v>
      </c>
      <c r="H81" t="s">
        <v>247</v>
      </c>
      <c r="I81" t="s">
        <v>246</v>
      </c>
      <c r="J81" s="1" t="str">
        <f>HYPERLINK("https://zfin.org/")</f>
        <v>https://zfin.org/</v>
      </c>
    </row>
    <row r="82" spans="1:11" x14ac:dyDescent="0.2">
      <c r="A82">
        <v>1.9795624030941201E-130</v>
      </c>
      <c r="B82">
        <v>2.2582192034209401</v>
      </c>
      <c r="C82">
        <v>1</v>
      </c>
      <c r="D82">
        <v>0.14599999999999999</v>
      </c>
      <c r="E82">
        <v>3.0649564687106202E-126</v>
      </c>
      <c r="F82">
        <v>1</v>
      </c>
      <c r="G82" t="s">
        <v>248</v>
      </c>
      <c r="H82" t="s">
        <v>249</v>
      </c>
      <c r="I82" t="s">
        <v>248</v>
      </c>
      <c r="J82" s="1" t="str">
        <f>HYPERLINK("https://zfin.org/ZDB-GENE-110406-5")</f>
        <v>https://zfin.org/ZDB-GENE-110406-5</v>
      </c>
      <c r="K82" t="s">
        <v>250</v>
      </c>
    </row>
    <row r="83" spans="1:11" x14ac:dyDescent="0.2">
      <c r="A83">
        <v>2.60032629931655E-130</v>
      </c>
      <c r="B83">
        <v>1.5114611790652901</v>
      </c>
      <c r="C83">
        <v>0.754</v>
      </c>
      <c r="D83">
        <v>4.8000000000000001E-2</v>
      </c>
      <c r="E83">
        <v>4.0260852092318103E-126</v>
      </c>
      <c r="F83">
        <v>1</v>
      </c>
      <c r="G83" t="s">
        <v>251</v>
      </c>
      <c r="H83" t="s">
        <v>252</v>
      </c>
      <c r="I83" t="s">
        <v>251</v>
      </c>
      <c r="J83" s="1" t="str">
        <f>HYPERLINK("https://zfin.org/ZDB-GENE-081028-70")</f>
        <v>https://zfin.org/ZDB-GENE-081028-70</v>
      </c>
      <c r="K83" t="s">
        <v>253</v>
      </c>
    </row>
    <row r="84" spans="1:11" x14ac:dyDescent="0.2">
      <c r="A84">
        <v>5.92126600496902E-130</v>
      </c>
      <c r="B84">
        <v>1.50851332864006</v>
      </c>
      <c r="C84">
        <v>0.93899999999999995</v>
      </c>
      <c r="D84">
        <v>9.2999999999999999E-2</v>
      </c>
      <c r="E84">
        <v>9.1678961554935301E-126</v>
      </c>
      <c r="F84">
        <v>1</v>
      </c>
      <c r="G84" t="s">
        <v>254</v>
      </c>
      <c r="H84" t="s">
        <v>255</v>
      </c>
      <c r="I84" t="s">
        <v>254</v>
      </c>
      <c r="J84" s="1" t="str">
        <f>HYPERLINK("https://zfin.org/ZDB-GENE-060616-326")</f>
        <v>https://zfin.org/ZDB-GENE-060616-326</v>
      </c>
      <c r="K84" t="s">
        <v>256</v>
      </c>
    </row>
    <row r="85" spans="1:11" x14ac:dyDescent="0.2">
      <c r="A85">
        <v>1.6252399280471501E-128</v>
      </c>
      <c r="B85">
        <v>0.74076916121435499</v>
      </c>
      <c r="C85">
        <v>0.53500000000000003</v>
      </c>
      <c r="D85">
        <v>1.2999999999999999E-2</v>
      </c>
      <c r="E85">
        <v>2.5163589805954101E-124</v>
      </c>
      <c r="F85">
        <v>1</v>
      </c>
      <c r="G85" t="s">
        <v>257</v>
      </c>
      <c r="H85" t="s">
        <v>258</v>
      </c>
      <c r="I85" t="s">
        <v>257</v>
      </c>
      <c r="J85" s="1" t="str">
        <f>HYPERLINK("https://zfin.org/ZDB-GENE-040426-2542")</f>
        <v>https://zfin.org/ZDB-GENE-040426-2542</v>
      </c>
      <c r="K85" t="s">
        <v>259</v>
      </c>
    </row>
    <row r="86" spans="1:11" x14ac:dyDescent="0.2">
      <c r="A86">
        <v>2.0986742977638098E-127</v>
      </c>
      <c r="B86">
        <v>1.5739126320450101</v>
      </c>
      <c r="C86">
        <v>0.64</v>
      </c>
      <c r="D86">
        <v>2.9000000000000001E-2</v>
      </c>
      <c r="E86">
        <v>3.2493774152277002E-123</v>
      </c>
      <c r="F86">
        <v>1</v>
      </c>
      <c r="G86" t="s">
        <v>260</v>
      </c>
      <c r="H86" t="s">
        <v>261</v>
      </c>
      <c r="I86" t="s">
        <v>260</v>
      </c>
      <c r="J86" s="1" t="str">
        <f>HYPERLINK("https://zfin.org/ZDB-GENE-040426-1473")</f>
        <v>https://zfin.org/ZDB-GENE-040426-1473</v>
      </c>
      <c r="K86" t="s">
        <v>262</v>
      </c>
    </row>
    <row r="87" spans="1:11" x14ac:dyDescent="0.2">
      <c r="A87">
        <v>6.1309666949004003E-127</v>
      </c>
      <c r="B87">
        <v>0.90984052341463595</v>
      </c>
      <c r="C87">
        <v>0.68400000000000005</v>
      </c>
      <c r="D87">
        <v>3.4000000000000002E-2</v>
      </c>
      <c r="E87">
        <v>9.4925757337142994E-123</v>
      </c>
      <c r="F87">
        <v>1</v>
      </c>
      <c r="G87" t="s">
        <v>263</v>
      </c>
      <c r="H87" t="s">
        <v>264</v>
      </c>
      <c r="I87" t="s">
        <v>263</v>
      </c>
      <c r="J87" s="1" t="str">
        <f>HYPERLINK("https://zfin.org/ZDB-GENE-041111-13")</f>
        <v>https://zfin.org/ZDB-GENE-041111-13</v>
      </c>
      <c r="K87" t="s">
        <v>265</v>
      </c>
    </row>
    <row r="88" spans="1:11" x14ac:dyDescent="0.2">
      <c r="A88">
        <v>6.4168949052251997E-127</v>
      </c>
      <c r="B88">
        <v>0.86003350894103003</v>
      </c>
      <c r="C88">
        <v>0.61399999999999999</v>
      </c>
      <c r="D88">
        <v>2.3E-2</v>
      </c>
      <c r="E88">
        <v>9.9352783817601802E-123</v>
      </c>
      <c r="F88">
        <v>1</v>
      </c>
      <c r="G88" t="s">
        <v>266</v>
      </c>
      <c r="H88" t="s">
        <v>267</v>
      </c>
      <c r="I88" t="s">
        <v>266</v>
      </c>
      <c r="J88" s="1" t="str">
        <f>HYPERLINK("https://zfin.org/ZDB-GENE-050522-311")</f>
        <v>https://zfin.org/ZDB-GENE-050522-311</v>
      </c>
      <c r="K88" t="s">
        <v>268</v>
      </c>
    </row>
    <row r="89" spans="1:11" x14ac:dyDescent="0.2">
      <c r="A89">
        <v>6.1117079996298504E-126</v>
      </c>
      <c r="B89">
        <v>0.97216578119143704</v>
      </c>
      <c r="C89">
        <v>0.66700000000000004</v>
      </c>
      <c r="D89">
        <v>3.3000000000000002E-2</v>
      </c>
      <c r="E89">
        <v>9.4627574958268903E-122</v>
      </c>
      <c r="F89">
        <v>1</v>
      </c>
      <c r="G89" t="s">
        <v>269</v>
      </c>
      <c r="H89" t="s">
        <v>270</v>
      </c>
      <c r="I89" t="s">
        <v>269</v>
      </c>
      <c r="J89" s="1" t="str">
        <f>HYPERLINK("https://zfin.org/ZDB-GENE-030131-4309")</f>
        <v>https://zfin.org/ZDB-GENE-030131-4309</v>
      </c>
      <c r="K89" t="s">
        <v>271</v>
      </c>
    </row>
    <row r="90" spans="1:11" x14ac:dyDescent="0.2">
      <c r="A90">
        <v>4.0295212879101202E-124</v>
      </c>
      <c r="B90">
        <v>0.80920794597466095</v>
      </c>
      <c r="C90">
        <v>0.61399999999999999</v>
      </c>
      <c r="D90">
        <v>2.5000000000000001E-2</v>
      </c>
      <c r="E90">
        <v>6.2389078100712296E-120</v>
      </c>
      <c r="F90">
        <v>1</v>
      </c>
      <c r="G90" t="s">
        <v>272</v>
      </c>
      <c r="H90" t="s">
        <v>273</v>
      </c>
      <c r="I90" t="s">
        <v>272</v>
      </c>
      <c r="J90" s="1" t="str">
        <f>HYPERLINK("https://zfin.org/ZDB-GENE-060825-357")</f>
        <v>https://zfin.org/ZDB-GENE-060825-357</v>
      </c>
      <c r="K90" t="s">
        <v>274</v>
      </c>
    </row>
    <row r="91" spans="1:11" x14ac:dyDescent="0.2">
      <c r="A91">
        <v>4.6131514085367501E-123</v>
      </c>
      <c r="B91">
        <v>0.92675840795127395</v>
      </c>
      <c r="C91">
        <v>0.69299999999999995</v>
      </c>
      <c r="D91">
        <v>3.6999999999999998E-2</v>
      </c>
      <c r="E91">
        <v>7.1425423258374496E-119</v>
      </c>
      <c r="F91">
        <v>1</v>
      </c>
      <c r="G91" t="s">
        <v>275</v>
      </c>
      <c r="H91" t="s">
        <v>276</v>
      </c>
      <c r="I91" t="s">
        <v>275</v>
      </c>
      <c r="J91" s="1" t="str">
        <f>HYPERLINK("https://zfin.org/ZDB-GENE-111118-2")</f>
        <v>https://zfin.org/ZDB-GENE-111118-2</v>
      </c>
      <c r="K91" t="s">
        <v>277</v>
      </c>
    </row>
    <row r="92" spans="1:11" x14ac:dyDescent="0.2">
      <c r="A92">
        <v>1.9179040907778899E-122</v>
      </c>
      <c r="B92">
        <v>0.69321372331949205</v>
      </c>
      <c r="C92">
        <v>0.51800000000000002</v>
      </c>
      <c r="D92">
        <v>1.2999999999999999E-2</v>
      </c>
      <c r="E92">
        <v>2.9694909037514098E-118</v>
      </c>
      <c r="F92">
        <v>1</v>
      </c>
      <c r="G92" t="s">
        <v>278</v>
      </c>
      <c r="H92" t="s">
        <v>279</v>
      </c>
      <c r="I92" t="s">
        <v>278</v>
      </c>
      <c r="J92" s="1" t="str">
        <f>HYPERLINK("https://zfin.org/ZDB-GENE-060526-106")</f>
        <v>https://zfin.org/ZDB-GENE-060526-106</v>
      </c>
      <c r="K92" t="s">
        <v>280</v>
      </c>
    </row>
    <row r="93" spans="1:11" x14ac:dyDescent="0.2">
      <c r="A93">
        <v>3.0643321945307001E-121</v>
      </c>
      <c r="B93">
        <v>0.79539377590568905</v>
      </c>
      <c r="C93">
        <v>0.55300000000000005</v>
      </c>
      <c r="D93">
        <v>1.7999999999999999E-2</v>
      </c>
      <c r="E93">
        <v>4.7445055367918897E-117</v>
      </c>
      <c r="F93">
        <v>1</v>
      </c>
      <c r="G93" t="s">
        <v>281</v>
      </c>
      <c r="H93" t="s">
        <v>282</v>
      </c>
      <c r="I93" t="s">
        <v>281</v>
      </c>
      <c r="J93" s="1" t="str">
        <f>HYPERLINK("https://zfin.org/ZDB-GENE-120215-229")</f>
        <v>https://zfin.org/ZDB-GENE-120215-229</v>
      </c>
      <c r="K93" t="s">
        <v>283</v>
      </c>
    </row>
    <row r="94" spans="1:11" x14ac:dyDescent="0.2">
      <c r="A94">
        <v>1.35396494581488E-120</v>
      </c>
      <c r="B94">
        <v>0.63063653200807002</v>
      </c>
      <c r="C94">
        <v>0.46500000000000002</v>
      </c>
      <c r="D94">
        <v>8.0000000000000002E-3</v>
      </c>
      <c r="E94">
        <v>2.09634392560519E-116</v>
      </c>
      <c r="F94">
        <v>1</v>
      </c>
      <c r="G94" t="s">
        <v>284</v>
      </c>
      <c r="H94" t="s">
        <v>285</v>
      </c>
      <c r="I94" t="s">
        <v>284</v>
      </c>
      <c r="J94" s="1" t="str">
        <f>HYPERLINK("https://zfin.org/ZDB-GENE-041014-339")</f>
        <v>https://zfin.org/ZDB-GENE-041014-339</v>
      </c>
      <c r="K94" t="s">
        <v>286</v>
      </c>
    </row>
    <row r="95" spans="1:11" x14ac:dyDescent="0.2">
      <c r="A95">
        <v>3.5735052572238903E-120</v>
      </c>
      <c r="B95">
        <v>0.69703811289893203</v>
      </c>
      <c r="C95">
        <v>0.57899999999999996</v>
      </c>
      <c r="D95">
        <v>2.1000000000000001E-2</v>
      </c>
      <c r="E95">
        <v>5.5328581897597504E-116</v>
      </c>
      <c r="F95">
        <v>1</v>
      </c>
      <c r="G95" t="s">
        <v>287</v>
      </c>
      <c r="H95" t="s">
        <v>288</v>
      </c>
      <c r="I95" t="s">
        <v>287</v>
      </c>
      <c r="J95" s="1" t="str">
        <f>HYPERLINK("https://zfin.org/ZDB-GENE-030131-8225")</f>
        <v>https://zfin.org/ZDB-GENE-030131-8225</v>
      </c>
      <c r="K95" t="s">
        <v>289</v>
      </c>
    </row>
    <row r="96" spans="1:11" x14ac:dyDescent="0.2">
      <c r="A96">
        <v>5.0557728168400102E-120</v>
      </c>
      <c r="B96">
        <v>0.89204421885192997</v>
      </c>
      <c r="C96">
        <v>0.60499999999999998</v>
      </c>
      <c r="D96">
        <v>2.5999999999999999E-2</v>
      </c>
      <c r="E96">
        <v>7.8278530523133795E-116</v>
      </c>
      <c r="F96">
        <v>1</v>
      </c>
      <c r="G96" t="s">
        <v>290</v>
      </c>
      <c r="H96" t="s">
        <v>291</v>
      </c>
      <c r="I96" t="s">
        <v>290</v>
      </c>
      <c r="J96" s="1" t="str">
        <f>HYPERLINK("https://zfin.org/ZDB-GENE-090312-63")</f>
        <v>https://zfin.org/ZDB-GENE-090312-63</v>
      </c>
      <c r="K96" t="s">
        <v>292</v>
      </c>
    </row>
    <row r="97" spans="1:11" x14ac:dyDescent="0.2">
      <c r="A97">
        <v>7.21343586089771E-119</v>
      </c>
      <c r="B97">
        <v>1.0042388297386</v>
      </c>
      <c r="C97">
        <v>0.65800000000000003</v>
      </c>
      <c r="D97">
        <v>3.5999999999999997E-2</v>
      </c>
      <c r="E97">
        <v>1.11685627434279E-114</v>
      </c>
      <c r="F97">
        <v>1</v>
      </c>
      <c r="G97" t="s">
        <v>293</v>
      </c>
      <c r="H97" t="s">
        <v>294</v>
      </c>
      <c r="I97" t="s">
        <v>293</v>
      </c>
      <c r="J97" s="1" t="str">
        <f>HYPERLINK("https://zfin.org/ZDB-GENE-030131-2193")</f>
        <v>https://zfin.org/ZDB-GENE-030131-2193</v>
      </c>
      <c r="K97" t="s">
        <v>295</v>
      </c>
    </row>
    <row r="98" spans="1:11" x14ac:dyDescent="0.2">
      <c r="A98">
        <v>8.8914863588632905E-119</v>
      </c>
      <c r="B98">
        <v>0.78528833674140097</v>
      </c>
      <c r="C98">
        <v>0.56100000000000005</v>
      </c>
      <c r="D98">
        <v>0.02</v>
      </c>
      <c r="E98">
        <v>1.3766688329428E-114</v>
      </c>
      <c r="F98">
        <v>1</v>
      </c>
      <c r="G98" t="s">
        <v>296</v>
      </c>
      <c r="H98" t="s">
        <v>297</v>
      </c>
      <c r="I98" t="s">
        <v>296</v>
      </c>
      <c r="J98" s="1" t="str">
        <f>HYPERLINK("https://zfin.org/ZDB-GENE-070822-21")</f>
        <v>https://zfin.org/ZDB-GENE-070822-21</v>
      </c>
      <c r="K98" t="s">
        <v>298</v>
      </c>
    </row>
    <row r="99" spans="1:11" x14ac:dyDescent="0.2">
      <c r="A99">
        <v>9.8127316904317796E-119</v>
      </c>
      <c r="B99">
        <v>0.65985828733224405</v>
      </c>
      <c r="C99">
        <v>0.5</v>
      </c>
      <c r="D99">
        <v>1.2E-2</v>
      </c>
      <c r="E99">
        <v>1.5193052476295501E-114</v>
      </c>
      <c r="F99">
        <v>1</v>
      </c>
      <c r="G99" t="s">
        <v>299</v>
      </c>
      <c r="H99" t="s">
        <v>300</v>
      </c>
      <c r="I99" t="s">
        <v>299</v>
      </c>
      <c r="J99" s="1" t="str">
        <f>HYPERLINK("https://zfin.org/ZDB-GENE-070912-59")</f>
        <v>https://zfin.org/ZDB-GENE-070912-59</v>
      </c>
      <c r="K99" t="s">
        <v>301</v>
      </c>
    </row>
    <row r="100" spans="1:11" x14ac:dyDescent="0.2">
      <c r="A100">
        <v>2.26745791029753E-118</v>
      </c>
      <c r="B100">
        <v>0.92026327522308105</v>
      </c>
      <c r="C100">
        <v>0.65800000000000003</v>
      </c>
      <c r="D100">
        <v>3.5000000000000003E-2</v>
      </c>
      <c r="E100">
        <v>3.5107050825136601E-114</v>
      </c>
      <c r="F100">
        <v>1</v>
      </c>
      <c r="G100" t="s">
        <v>302</v>
      </c>
      <c r="H100" t="s">
        <v>303</v>
      </c>
      <c r="I100" t="s">
        <v>302</v>
      </c>
      <c r="J100" s="1" t="str">
        <f>HYPERLINK("https://zfin.org/ZDB-GENE-040718-445")</f>
        <v>https://zfin.org/ZDB-GENE-040718-445</v>
      </c>
      <c r="K100" t="s">
        <v>304</v>
      </c>
    </row>
    <row r="101" spans="1:11" x14ac:dyDescent="0.2">
      <c r="A101">
        <v>4.9786435791348899E-118</v>
      </c>
      <c r="B101">
        <v>0.74150540536509901</v>
      </c>
      <c r="C101">
        <v>0.51800000000000002</v>
      </c>
      <c r="D101">
        <v>1.4999999999999999E-2</v>
      </c>
      <c r="E101">
        <v>7.7084338535745494E-114</v>
      </c>
      <c r="F101">
        <v>1</v>
      </c>
      <c r="G101" t="s">
        <v>305</v>
      </c>
      <c r="H101" t="s">
        <v>306</v>
      </c>
      <c r="I101" t="s">
        <v>305</v>
      </c>
      <c r="J101" s="1" t="str">
        <f>HYPERLINK("https://zfin.org/ZDB-GENE-091118-80")</f>
        <v>https://zfin.org/ZDB-GENE-091118-80</v>
      </c>
      <c r="K101" t="s">
        <v>307</v>
      </c>
    </row>
    <row r="102" spans="1:11" x14ac:dyDescent="0.2">
      <c r="A102">
        <v>5.3410272900801503E-117</v>
      </c>
      <c r="B102">
        <v>1.3488245425020899</v>
      </c>
      <c r="C102">
        <v>0.86799999999999999</v>
      </c>
      <c r="D102">
        <v>0.09</v>
      </c>
      <c r="E102">
        <v>8.2695125532310899E-113</v>
      </c>
      <c r="F102">
        <v>1</v>
      </c>
      <c r="G102" t="s">
        <v>308</v>
      </c>
      <c r="H102" t="s">
        <v>309</v>
      </c>
      <c r="I102" t="s">
        <v>308</v>
      </c>
      <c r="J102" s="1" t="str">
        <f>HYPERLINK("https://zfin.org/ZDB-GENE-030616-616")</f>
        <v>https://zfin.org/ZDB-GENE-030616-616</v>
      </c>
      <c r="K102" t="s">
        <v>310</v>
      </c>
    </row>
    <row r="103" spans="1:11" x14ac:dyDescent="0.2">
      <c r="A103">
        <v>5.64948167167764E-117</v>
      </c>
      <c r="B103">
        <v>0.66777152360057501</v>
      </c>
      <c r="C103">
        <v>0.49099999999999999</v>
      </c>
      <c r="D103">
        <v>1.2E-2</v>
      </c>
      <c r="E103">
        <v>8.7470924722584903E-113</v>
      </c>
      <c r="F103">
        <v>1</v>
      </c>
      <c r="G103" t="s">
        <v>311</v>
      </c>
      <c r="H103" t="s">
        <v>312</v>
      </c>
      <c r="I103" t="s">
        <v>311</v>
      </c>
      <c r="J103" s="1" t="str">
        <f>HYPERLINK("https://zfin.org/ZDB-GENE-070209-143")</f>
        <v>https://zfin.org/ZDB-GENE-070209-143</v>
      </c>
      <c r="K103" t="s">
        <v>313</v>
      </c>
    </row>
    <row r="104" spans="1:11" x14ac:dyDescent="0.2">
      <c r="A104">
        <v>1.4612498775361601E-116</v>
      </c>
      <c r="B104">
        <v>1.1718034931714001</v>
      </c>
      <c r="C104">
        <v>0.70199999999999996</v>
      </c>
      <c r="D104">
        <v>4.4999999999999998E-2</v>
      </c>
      <c r="E104">
        <v>2.2624531853892401E-112</v>
      </c>
      <c r="F104">
        <v>1</v>
      </c>
      <c r="G104" t="s">
        <v>314</v>
      </c>
      <c r="H104" t="s">
        <v>315</v>
      </c>
      <c r="I104" t="s">
        <v>314</v>
      </c>
      <c r="J104" s="1" t="str">
        <f>HYPERLINK("https://zfin.org/ZDB-GENE-000523-2")</f>
        <v>https://zfin.org/ZDB-GENE-000523-2</v>
      </c>
      <c r="K104" t="s">
        <v>316</v>
      </c>
    </row>
    <row r="105" spans="1:11" x14ac:dyDescent="0.2">
      <c r="A105">
        <v>1.8680627016071501E-116</v>
      </c>
      <c r="B105">
        <v>0.88459289109943295</v>
      </c>
      <c r="C105">
        <v>0.61399999999999999</v>
      </c>
      <c r="D105">
        <v>2.9000000000000001E-2</v>
      </c>
      <c r="E105">
        <v>2.8923214808983498E-112</v>
      </c>
      <c r="F105">
        <v>1</v>
      </c>
      <c r="G105" t="s">
        <v>317</v>
      </c>
      <c r="H105" t="s">
        <v>318</v>
      </c>
      <c r="I105" t="s">
        <v>317</v>
      </c>
      <c r="J105" s="1" t="str">
        <f>HYPERLINK("https://zfin.org/")</f>
        <v>https://zfin.org/</v>
      </c>
    </row>
    <row r="106" spans="1:11" x14ac:dyDescent="0.2">
      <c r="A106">
        <v>2.7552985909657502E-116</v>
      </c>
      <c r="B106">
        <v>0.77598178246309502</v>
      </c>
      <c r="C106">
        <v>0.60499999999999998</v>
      </c>
      <c r="D106">
        <v>2.7E-2</v>
      </c>
      <c r="E106">
        <v>4.2660288083922698E-112</v>
      </c>
      <c r="F106">
        <v>1</v>
      </c>
      <c r="G106" t="s">
        <v>319</v>
      </c>
      <c r="H106" t="s">
        <v>320</v>
      </c>
      <c r="I106" t="s">
        <v>319</v>
      </c>
      <c r="J106" s="1" t="str">
        <f>HYPERLINK("https://zfin.org/ZDB-GENE-080204-7")</f>
        <v>https://zfin.org/ZDB-GENE-080204-7</v>
      </c>
      <c r="K106" t="s">
        <v>321</v>
      </c>
    </row>
    <row r="107" spans="1:11" x14ac:dyDescent="0.2">
      <c r="A107">
        <v>8.9652968465685705E-116</v>
      </c>
      <c r="B107">
        <v>1.33587278321271</v>
      </c>
      <c r="C107">
        <v>0.97399999999999998</v>
      </c>
      <c r="D107">
        <v>0.122</v>
      </c>
      <c r="E107">
        <v>1.3880969107542099E-111</v>
      </c>
      <c r="F107">
        <v>1</v>
      </c>
      <c r="G107" t="s">
        <v>322</v>
      </c>
      <c r="H107" t="s">
        <v>323</v>
      </c>
      <c r="I107" t="s">
        <v>322</v>
      </c>
      <c r="J107" s="1" t="str">
        <f>HYPERLINK("https://zfin.org/ZDB-GENE-090507-4")</f>
        <v>https://zfin.org/ZDB-GENE-090507-4</v>
      </c>
      <c r="K107" t="s">
        <v>324</v>
      </c>
    </row>
    <row r="108" spans="1:11" x14ac:dyDescent="0.2">
      <c r="A108">
        <v>1.02836944483394E-115</v>
      </c>
      <c r="B108">
        <v>2.5913050595021798</v>
      </c>
      <c r="C108">
        <v>0.97399999999999998</v>
      </c>
      <c r="D108">
        <v>0.17699999999999999</v>
      </c>
      <c r="E108">
        <v>1.5922244114364E-111</v>
      </c>
      <c r="F108">
        <v>1</v>
      </c>
      <c r="G108" t="s">
        <v>325</v>
      </c>
      <c r="H108" t="s">
        <v>326</v>
      </c>
      <c r="I108" t="s">
        <v>325</v>
      </c>
      <c r="J108" s="1" t="str">
        <f>HYPERLINK("https://zfin.org/ZDB-GENE-131127-224")</f>
        <v>https://zfin.org/ZDB-GENE-131127-224</v>
      </c>
      <c r="K108" t="s">
        <v>327</v>
      </c>
    </row>
    <row r="109" spans="1:11" x14ac:dyDescent="0.2">
      <c r="A109">
        <v>4.7912421488362001E-115</v>
      </c>
      <c r="B109">
        <v>1.0791153436232901</v>
      </c>
      <c r="C109">
        <v>0.70199999999999996</v>
      </c>
      <c r="D109">
        <v>4.5999999999999999E-2</v>
      </c>
      <c r="E109">
        <v>7.4182802190430796E-111</v>
      </c>
      <c r="F109">
        <v>1</v>
      </c>
      <c r="G109" t="s">
        <v>328</v>
      </c>
      <c r="H109" t="s">
        <v>329</v>
      </c>
      <c r="I109" t="s">
        <v>328</v>
      </c>
      <c r="J109" s="1" t="str">
        <f>HYPERLINK("https://zfin.org/ZDB-GENE-120709-101")</f>
        <v>https://zfin.org/ZDB-GENE-120709-101</v>
      </c>
      <c r="K109" t="s">
        <v>330</v>
      </c>
    </row>
    <row r="110" spans="1:11" x14ac:dyDescent="0.2">
      <c r="A110">
        <v>1.8271175797045799E-114</v>
      </c>
      <c r="B110">
        <v>1.2414205183598299</v>
      </c>
      <c r="C110">
        <v>0.90400000000000003</v>
      </c>
      <c r="D110">
        <v>9.5000000000000001E-2</v>
      </c>
      <c r="E110">
        <v>2.8289261486566099E-110</v>
      </c>
      <c r="F110">
        <v>1</v>
      </c>
      <c r="G110" t="s">
        <v>331</v>
      </c>
      <c r="H110" t="s">
        <v>332</v>
      </c>
      <c r="I110" t="s">
        <v>331</v>
      </c>
      <c r="J110" s="1" t="str">
        <f>HYPERLINK("https://zfin.org/ZDB-GENE-061114-1")</f>
        <v>https://zfin.org/ZDB-GENE-061114-1</v>
      </c>
      <c r="K110" t="s">
        <v>333</v>
      </c>
    </row>
    <row r="111" spans="1:11" x14ac:dyDescent="0.2">
      <c r="A111">
        <v>3.5165138979703397E-114</v>
      </c>
      <c r="B111">
        <v>1.0971072379917299</v>
      </c>
      <c r="C111">
        <v>0.69299999999999995</v>
      </c>
      <c r="D111">
        <v>4.3999999999999997E-2</v>
      </c>
      <c r="E111">
        <v>5.4446184682274705E-110</v>
      </c>
      <c r="F111">
        <v>1</v>
      </c>
      <c r="G111" t="s">
        <v>334</v>
      </c>
      <c r="H111" t="s">
        <v>335</v>
      </c>
      <c r="I111" t="s">
        <v>334</v>
      </c>
      <c r="J111" s="1" t="str">
        <f>HYPERLINK("https://zfin.org/ZDB-GENE-140106-61")</f>
        <v>https://zfin.org/ZDB-GENE-140106-61</v>
      </c>
      <c r="K111" t="s">
        <v>336</v>
      </c>
    </row>
    <row r="112" spans="1:11" x14ac:dyDescent="0.2">
      <c r="A112">
        <v>9.3268906068240197E-113</v>
      </c>
      <c r="B112">
        <v>1.31761485745046</v>
      </c>
      <c r="C112">
        <v>0.82499999999999996</v>
      </c>
      <c r="D112">
        <v>7.5999999999999998E-2</v>
      </c>
      <c r="E112">
        <v>1.4440824726545601E-108</v>
      </c>
      <c r="F112">
        <v>1</v>
      </c>
      <c r="G112" t="s">
        <v>337</v>
      </c>
      <c r="H112" t="s">
        <v>338</v>
      </c>
      <c r="I112" t="s">
        <v>337</v>
      </c>
      <c r="J112" s="1" t="str">
        <f>HYPERLINK("https://zfin.org/ZDB-GENE-010718-1")</f>
        <v>https://zfin.org/ZDB-GENE-010718-1</v>
      </c>
      <c r="K112" t="s">
        <v>339</v>
      </c>
    </row>
    <row r="113" spans="1:11" x14ac:dyDescent="0.2">
      <c r="A113">
        <v>4.7853224445490996E-112</v>
      </c>
      <c r="B113">
        <v>0.82298196966790504</v>
      </c>
      <c r="C113">
        <v>0.59599999999999997</v>
      </c>
      <c r="D113">
        <v>2.8000000000000001E-2</v>
      </c>
      <c r="E113">
        <v>7.4091147408953798E-108</v>
      </c>
      <c r="F113">
        <v>1</v>
      </c>
      <c r="G113" t="s">
        <v>340</v>
      </c>
      <c r="H113" t="s">
        <v>341</v>
      </c>
      <c r="I113" t="s">
        <v>340</v>
      </c>
      <c r="J113" s="1" t="str">
        <f>HYPERLINK("https://zfin.org/ZDB-GENE-050411-27")</f>
        <v>https://zfin.org/ZDB-GENE-050411-27</v>
      </c>
      <c r="K113" t="s">
        <v>342</v>
      </c>
    </row>
    <row r="114" spans="1:11" x14ac:dyDescent="0.2">
      <c r="A114">
        <v>2.1967467879649699E-110</v>
      </c>
      <c r="B114">
        <v>0.63792122399798501</v>
      </c>
      <c r="C114">
        <v>0.5</v>
      </c>
      <c r="D114">
        <v>1.6E-2</v>
      </c>
      <c r="E114">
        <v>3.4012230518061601E-106</v>
      </c>
      <c r="F114">
        <v>1</v>
      </c>
      <c r="G114" t="s">
        <v>343</v>
      </c>
      <c r="H114" t="s">
        <v>344</v>
      </c>
      <c r="I114" t="s">
        <v>343</v>
      </c>
      <c r="J114" s="1" t="str">
        <f>HYPERLINK("https://zfin.org/")</f>
        <v>https://zfin.org/</v>
      </c>
      <c r="K114" t="s">
        <v>345</v>
      </c>
    </row>
    <row r="115" spans="1:11" x14ac:dyDescent="0.2">
      <c r="A115">
        <v>3.1056392576439999E-109</v>
      </c>
      <c r="B115">
        <v>0.71692529589211995</v>
      </c>
      <c r="C115">
        <v>0.59599999999999997</v>
      </c>
      <c r="D115">
        <v>0.03</v>
      </c>
      <c r="E115">
        <v>4.8084612626102002E-105</v>
      </c>
      <c r="F115">
        <v>1</v>
      </c>
      <c r="G115" t="s">
        <v>346</v>
      </c>
      <c r="H115" t="s">
        <v>347</v>
      </c>
      <c r="I115" t="s">
        <v>346</v>
      </c>
      <c r="J115" s="1" t="str">
        <f>HYPERLINK("https://zfin.org/ZDB-GENE-090313-121")</f>
        <v>https://zfin.org/ZDB-GENE-090313-121</v>
      </c>
      <c r="K115" t="s">
        <v>348</v>
      </c>
    </row>
    <row r="116" spans="1:11" x14ac:dyDescent="0.2">
      <c r="A116">
        <v>3.6465829201719098E-109</v>
      </c>
      <c r="B116">
        <v>0.75800537696030401</v>
      </c>
      <c r="C116">
        <v>0.36799999999999999</v>
      </c>
      <c r="D116">
        <v>2E-3</v>
      </c>
      <c r="E116">
        <v>5.6460043353021701E-105</v>
      </c>
      <c r="F116">
        <v>1</v>
      </c>
      <c r="G116" t="s">
        <v>349</v>
      </c>
      <c r="H116" t="s">
        <v>350</v>
      </c>
      <c r="I116" t="s">
        <v>349</v>
      </c>
      <c r="J116" s="1" t="str">
        <f>HYPERLINK("https://zfin.org/ZDB-GENE-050220-7")</f>
        <v>https://zfin.org/ZDB-GENE-050220-7</v>
      </c>
      <c r="K116" t="s">
        <v>351</v>
      </c>
    </row>
    <row r="117" spans="1:11" x14ac:dyDescent="0.2">
      <c r="A117">
        <v>1.59534641791535E-108</v>
      </c>
      <c r="B117">
        <v>0.92400840993790501</v>
      </c>
      <c r="C117">
        <v>0.746</v>
      </c>
      <c r="D117">
        <v>5.8999999999999997E-2</v>
      </c>
      <c r="E117">
        <v>2.47007485885834E-104</v>
      </c>
      <c r="F117">
        <v>1</v>
      </c>
      <c r="G117" t="s">
        <v>352</v>
      </c>
      <c r="H117" t="s">
        <v>353</v>
      </c>
      <c r="I117" t="s">
        <v>352</v>
      </c>
      <c r="J117" s="1" t="str">
        <f>HYPERLINK("https://zfin.org/ZDB-GENE-050522-504")</f>
        <v>https://zfin.org/ZDB-GENE-050522-504</v>
      </c>
      <c r="K117" t="s">
        <v>354</v>
      </c>
    </row>
    <row r="118" spans="1:11" x14ac:dyDescent="0.2">
      <c r="A118">
        <v>3.9377715831918199E-108</v>
      </c>
      <c r="B118">
        <v>0.90804013944436501</v>
      </c>
      <c r="C118">
        <v>0.746</v>
      </c>
      <c r="D118">
        <v>0.06</v>
      </c>
      <c r="E118">
        <v>6.0968517422558995E-104</v>
      </c>
      <c r="F118">
        <v>1</v>
      </c>
      <c r="G118" t="s">
        <v>355</v>
      </c>
      <c r="H118" t="s">
        <v>356</v>
      </c>
      <c r="I118" t="s">
        <v>355</v>
      </c>
      <c r="J118" s="1" t="str">
        <f>HYPERLINK("https://zfin.org/ZDB-GENE-021022-2")</f>
        <v>https://zfin.org/ZDB-GENE-021022-2</v>
      </c>
      <c r="K118" t="s">
        <v>357</v>
      </c>
    </row>
    <row r="119" spans="1:11" x14ac:dyDescent="0.2">
      <c r="A119">
        <v>7.12261408076364E-108</v>
      </c>
      <c r="B119">
        <v>0.72674465795052101</v>
      </c>
      <c r="C119">
        <v>0.439</v>
      </c>
      <c r="D119">
        <v>8.9999999999999993E-3</v>
      </c>
      <c r="E119">
        <v>1.10279433812463E-103</v>
      </c>
      <c r="F119">
        <v>1</v>
      </c>
      <c r="G119" t="s">
        <v>358</v>
      </c>
      <c r="H119" t="s">
        <v>359</v>
      </c>
      <c r="I119" t="s">
        <v>358</v>
      </c>
      <c r="J119" s="1" t="str">
        <f>HYPERLINK("https://zfin.org/ZDB-GENE-070209-295")</f>
        <v>https://zfin.org/ZDB-GENE-070209-295</v>
      </c>
      <c r="K119" t="s">
        <v>360</v>
      </c>
    </row>
    <row r="120" spans="1:11" x14ac:dyDescent="0.2">
      <c r="A120">
        <v>1.4181537541165301E-107</v>
      </c>
      <c r="B120">
        <v>1.0256424964950299</v>
      </c>
      <c r="C120">
        <v>0.64900000000000002</v>
      </c>
      <c r="D120">
        <v>0.04</v>
      </c>
      <c r="E120">
        <v>2.1957274574986299E-103</v>
      </c>
      <c r="F120">
        <v>1</v>
      </c>
      <c r="G120" t="s">
        <v>361</v>
      </c>
      <c r="H120" t="s">
        <v>362</v>
      </c>
      <c r="I120" t="s">
        <v>363</v>
      </c>
      <c r="J120" s="1" t="str">
        <f>HYPERLINK("https://zfin.org/ZDB-GENE-040426-1687")</f>
        <v>https://zfin.org/ZDB-GENE-040426-1687</v>
      </c>
      <c r="K120" t="s">
        <v>364</v>
      </c>
    </row>
    <row r="121" spans="1:11" x14ac:dyDescent="0.2">
      <c r="A121">
        <v>1.5835184210909301E-106</v>
      </c>
      <c r="B121">
        <v>0.65886316467077399</v>
      </c>
      <c r="C121">
        <v>0.49099999999999999</v>
      </c>
      <c r="D121">
        <v>1.6E-2</v>
      </c>
      <c r="E121">
        <v>2.45176157137508E-102</v>
      </c>
      <c r="F121">
        <v>1</v>
      </c>
      <c r="G121" t="s">
        <v>365</v>
      </c>
      <c r="H121" t="s">
        <v>366</v>
      </c>
      <c r="I121" t="s">
        <v>365</v>
      </c>
      <c r="J121" s="1" t="str">
        <f>HYPERLINK("https://zfin.org/ZDB-GENE-030131-3633")</f>
        <v>https://zfin.org/ZDB-GENE-030131-3633</v>
      </c>
      <c r="K121" t="s">
        <v>367</v>
      </c>
    </row>
    <row r="122" spans="1:11" x14ac:dyDescent="0.2">
      <c r="A122">
        <v>1.14495050434217E-105</v>
      </c>
      <c r="B122">
        <v>0.85171585902706504</v>
      </c>
      <c r="C122">
        <v>0.56100000000000005</v>
      </c>
      <c r="D122">
        <v>2.7E-2</v>
      </c>
      <c r="E122">
        <v>1.7727268658729801E-101</v>
      </c>
      <c r="F122">
        <v>1</v>
      </c>
      <c r="G122" t="s">
        <v>368</v>
      </c>
      <c r="H122" t="s">
        <v>369</v>
      </c>
      <c r="I122" t="s">
        <v>368</v>
      </c>
      <c r="J122" s="1" t="str">
        <f>HYPERLINK("https://zfin.org/ZDB-GENE-040718-9")</f>
        <v>https://zfin.org/ZDB-GENE-040718-9</v>
      </c>
      <c r="K122" t="s">
        <v>370</v>
      </c>
    </row>
    <row r="123" spans="1:11" x14ac:dyDescent="0.2">
      <c r="A123">
        <v>2.5515096812745501E-105</v>
      </c>
      <c r="B123">
        <v>1.37940405786058</v>
      </c>
      <c r="C123">
        <v>1</v>
      </c>
      <c r="D123">
        <v>0.14399999999999999</v>
      </c>
      <c r="E123">
        <v>3.9505024395173898E-101</v>
      </c>
      <c r="F123">
        <v>1</v>
      </c>
      <c r="G123" t="s">
        <v>371</v>
      </c>
      <c r="H123" t="s">
        <v>372</v>
      </c>
      <c r="I123" t="s">
        <v>371</v>
      </c>
      <c r="J123" s="1" t="str">
        <f>HYPERLINK("https://zfin.org/ZDB-GENE-040628-1")</f>
        <v>https://zfin.org/ZDB-GENE-040628-1</v>
      </c>
      <c r="K123" t="s">
        <v>373</v>
      </c>
    </row>
    <row r="124" spans="1:11" x14ac:dyDescent="0.2">
      <c r="A124">
        <v>3.5824436197393198E-105</v>
      </c>
      <c r="B124">
        <v>0.60363517287081103</v>
      </c>
      <c r="C124">
        <v>0.46500000000000002</v>
      </c>
      <c r="D124">
        <v>1.4E-2</v>
      </c>
      <c r="E124">
        <v>5.5466974564423901E-101</v>
      </c>
      <c r="F124">
        <v>1</v>
      </c>
      <c r="G124" t="s">
        <v>374</v>
      </c>
      <c r="H124" t="s">
        <v>375</v>
      </c>
      <c r="I124" t="s">
        <v>374</v>
      </c>
      <c r="J124" s="1" t="str">
        <f>HYPERLINK("https://zfin.org/ZDB-GENE-050522-296")</f>
        <v>https://zfin.org/ZDB-GENE-050522-296</v>
      </c>
      <c r="K124" t="s">
        <v>376</v>
      </c>
    </row>
    <row r="125" spans="1:11" x14ac:dyDescent="0.2">
      <c r="A125">
        <v>4.3111342425163199E-104</v>
      </c>
      <c r="B125">
        <v>0.50306104909691995</v>
      </c>
      <c r="C125">
        <v>0.38600000000000001</v>
      </c>
      <c r="D125">
        <v>5.0000000000000001E-3</v>
      </c>
      <c r="E125">
        <v>6.6749291476880097E-100</v>
      </c>
      <c r="F125">
        <v>1</v>
      </c>
      <c r="G125" t="s">
        <v>377</v>
      </c>
      <c r="H125" t="s">
        <v>378</v>
      </c>
      <c r="I125" t="s">
        <v>377</v>
      </c>
      <c r="J125" s="1" t="str">
        <f>HYPERLINK("https://zfin.org/ZDB-GENE-061013-507")</f>
        <v>https://zfin.org/ZDB-GENE-061013-507</v>
      </c>
      <c r="K125" t="s">
        <v>379</v>
      </c>
    </row>
    <row r="126" spans="1:11" x14ac:dyDescent="0.2">
      <c r="A126">
        <v>3.6620872716250199E-103</v>
      </c>
      <c r="B126">
        <v>2.2369014631733002</v>
      </c>
      <c r="C126">
        <v>0.99099999999999999</v>
      </c>
      <c r="D126">
        <v>0.23200000000000001</v>
      </c>
      <c r="E126">
        <v>5.6700097226570099E-99</v>
      </c>
      <c r="F126">
        <v>1</v>
      </c>
      <c r="G126" t="s">
        <v>380</v>
      </c>
      <c r="H126" t="s">
        <v>381</v>
      </c>
      <c r="I126" t="s">
        <v>380</v>
      </c>
      <c r="J126" s="1" t="str">
        <f>HYPERLINK("https://zfin.org/ZDB-GENE-131121-428")</f>
        <v>https://zfin.org/ZDB-GENE-131121-428</v>
      </c>
      <c r="K126" t="s">
        <v>382</v>
      </c>
    </row>
    <row r="127" spans="1:11" x14ac:dyDescent="0.2">
      <c r="A127">
        <v>4.1671144600868998E-103</v>
      </c>
      <c r="B127">
        <v>0.99645275380308596</v>
      </c>
      <c r="C127">
        <v>0.45600000000000002</v>
      </c>
      <c r="D127">
        <v>1.4E-2</v>
      </c>
      <c r="E127">
        <v>6.4519433185525403E-99</v>
      </c>
      <c r="F127">
        <v>1</v>
      </c>
      <c r="G127" t="s">
        <v>383</v>
      </c>
      <c r="H127" t="s">
        <v>384</v>
      </c>
      <c r="I127" t="s">
        <v>383</v>
      </c>
      <c r="J127" s="1" t="str">
        <f>HYPERLINK("https://zfin.org/ZDB-GENE-050522-218")</f>
        <v>https://zfin.org/ZDB-GENE-050522-218</v>
      </c>
      <c r="K127" t="s">
        <v>385</v>
      </c>
    </row>
    <row r="128" spans="1:11" x14ac:dyDescent="0.2">
      <c r="A128">
        <v>7.0811623641726995E-103</v>
      </c>
      <c r="B128">
        <v>1.61402088067482</v>
      </c>
      <c r="C128">
        <v>0.86</v>
      </c>
      <c r="D128">
        <v>0.109</v>
      </c>
      <c r="E128">
        <v>1.09637636884486E-98</v>
      </c>
      <c r="F128">
        <v>1</v>
      </c>
      <c r="G128" t="s">
        <v>386</v>
      </c>
      <c r="H128" t="s">
        <v>387</v>
      </c>
      <c r="I128" t="s">
        <v>386</v>
      </c>
      <c r="J128" s="1" t="str">
        <f>HYPERLINK("https://zfin.org/ZDB-GENE-030131-6048")</f>
        <v>https://zfin.org/ZDB-GENE-030131-6048</v>
      </c>
      <c r="K128" t="s">
        <v>388</v>
      </c>
    </row>
    <row r="129" spans="1:11" x14ac:dyDescent="0.2">
      <c r="A129">
        <v>1.71250466857756E-102</v>
      </c>
      <c r="B129">
        <v>0.64668827807572205</v>
      </c>
      <c r="C129">
        <v>0.45600000000000002</v>
      </c>
      <c r="D129">
        <v>1.4E-2</v>
      </c>
      <c r="E129">
        <v>2.6514709783586401E-98</v>
      </c>
      <c r="F129">
        <v>1</v>
      </c>
      <c r="G129" t="s">
        <v>389</v>
      </c>
      <c r="H129" t="s">
        <v>390</v>
      </c>
      <c r="I129" t="s">
        <v>389</v>
      </c>
      <c r="J129" s="1" t="str">
        <f>HYPERLINK("https://zfin.org/ZDB-GENE-070705-485")</f>
        <v>https://zfin.org/ZDB-GENE-070705-485</v>
      </c>
      <c r="K129" t="s">
        <v>391</v>
      </c>
    </row>
    <row r="130" spans="1:11" x14ac:dyDescent="0.2">
      <c r="A130">
        <v>2.0048210677166699E-101</v>
      </c>
      <c r="B130">
        <v>0.75858562475250402</v>
      </c>
      <c r="C130">
        <v>0.51800000000000002</v>
      </c>
      <c r="D130">
        <v>2.1999999999999999E-2</v>
      </c>
      <c r="E130">
        <v>3.1040644591457299E-97</v>
      </c>
      <c r="F130">
        <v>1</v>
      </c>
      <c r="G130" t="s">
        <v>392</v>
      </c>
      <c r="H130" t="s">
        <v>393</v>
      </c>
      <c r="I130" t="s">
        <v>392</v>
      </c>
      <c r="J130" s="1" t="str">
        <f>HYPERLINK("https://zfin.org/ZDB-GENE-081104-296")</f>
        <v>https://zfin.org/ZDB-GENE-081104-296</v>
      </c>
      <c r="K130" t="s">
        <v>394</v>
      </c>
    </row>
    <row r="131" spans="1:11" x14ac:dyDescent="0.2">
      <c r="A131">
        <v>3.3092533172111699E-101</v>
      </c>
      <c r="B131">
        <v>0.567688950007183</v>
      </c>
      <c r="C131">
        <v>0.43</v>
      </c>
      <c r="D131">
        <v>1.0999999999999999E-2</v>
      </c>
      <c r="E131">
        <v>5.1237169110380504E-97</v>
      </c>
      <c r="F131">
        <v>1</v>
      </c>
      <c r="G131" t="s">
        <v>395</v>
      </c>
      <c r="H131" t="s">
        <v>396</v>
      </c>
      <c r="I131" t="s">
        <v>395</v>
      </c>
      <c r="J131" s="1" t="str">
        <f>HYPERLINK("https://zfin.org/ZDB-GENE-141219-44")</f>
        <v>https://zfin.org/ZDB-GENE-141219-44</v>
      </c>
      <c r="K131" t="s">
        <v>397</v>
      </c>
    </row>
    <row r="132" spans="1:11" x14ac:dyDescent="0.2">
      <c r="A132">
        <v>5.9403758394301506E-101</v>
      </c>
      <c r="B132">
        <v>0.80632319342728798</v>
      </c>
      <c r="C132">
        <v>0.64</v>
      </c>
      <c r="D132">
        <v>4.2999999999999997E-2</v>
      </c>
      <c r="E132">
        <v>9.1974839121896999E-97</v>
      </c>
      <c r="F132">
        <v>1</v>
      </c>
      <c r="G132" t="s">
        <v>398</v>
      </c>
      <c r="H132" t="s">
        <v>399</v>
      </c>
      <c r="I132" t="s">
        <v>398</v>
      </c>
      <c r="J132" s="1" t="str">
        <f>HYPERLINK("https://zfin.org/ZDB-GENE-091112-16")</f>
        <v>https://zfin.org/ZDB-GENE-091112-16</v>
      </c>
      <c r="K132" t="s">
        <v>400</v>
      </c>
    </row>
    <row r="133" spans="1:11" x14ac:dyDescent="0.2">
      <c r="A133">
        <v>1.12404547023845E-100</v>
      </c>
      <c r="B133">
        <v>0.59999145210983496</v>
      </c>
      <c r="C133">
        <v>0.33300000000000002</v>
      </c>
      <c r="D133">
        <v>1E-3</v>
      </c>
      <c r="E133">
        <v>1.7403596015701901E-96</v>
      </c>
      <c r="F133">
        <v>1</v>
      </c>
      <c r="G133" t="s">
        <v>401</v>
      </c>
      <c r="H133" t="s">
        <v>402</v>
      </c>
      <c r="I133" t="s">
        <v>401</v>
      </c>
      <c r="J133" s="1" t="str">
        <f>HYPERLINK("https://zfin.org/ZDB-GENE-070209-41")</f>
        <v>https://zfin.org/ZDB-GENE-070209-41</v>
      </c>
      <c r="K133" t="s">
        <v>403</v>
      </c>
    </row>
    <row r="134" spans="1:11" x14ac:dyDescent="0.2">
      <c r="A134">
        <v>1.07398532565474E-99</v>
      </c>
      <c r="B134">
        <v>1.0563317484127399</v>
      </c>
      <c r="C134">
        <v>0.86</v>
      </c>
      <c r="D134">
        <v>9.7000000000000003E-2</v>
      </c>
      <c r="E134">
        <v>1.66285147971123E-95</v>
      </c>
      <c r="F134">
        <v>1</v>
      </c>
      <c r="G134" t="s">
        <v>404</v>
      </c>
      <c r="H134" t="s">
        <v>405</v>
      </c>
      <c r="I134" t="s">
        <v>404</v>
      </c>
      <c r="J134" s="1" t="str">
        <f>HYPERLINK("https://zfin.org/ZDB-GENE-041212-9")</f>
        <v>https://zfin.org/ZDB-GENE-041212-9</v>
      </c>
      <c r="K134" t="s">
        <v>406</v>
      </c>
    </row>
    <row r="135" spans="1:11" x14ac:dyDescent="0.2">
      <c r="A135">
        <v>8.3989460473945402E-99</v>
      </c>
      <c r="B135">
        <v>0.80543474301232398</v>
      </c>
      <c r="C135">
        <v>0.56100000000000005</v>
      </c>
      <c r="D135">
        <v>3.1E-2</v>
      </c>
      <c r="E135">
        <v>1.3004088165181001E-94</v>
      </c>
      <c r="F135">
        <v>1</v>
      </c>
      <c r="G135" t="s">
        <v>407</v>
      </c>
      <c r="H135" t="s">
        <v>408</v>
      </c>
      <c r="I135" t="s">
        <v>407</v>
      </c>
      <c r="J135" s="1" t="str">
        <f>HYPERLINK("https://zfin.org/ZDB-GENE-081104-457")</f>
        <v>https://zfin.org/ZDB-GENE-081104-457</v>
      </c>
      <c r="K135" t="s">
        <v>409</v>
      </c>
    </row>
    <row r="136" spans="1:11" x14ac:dyDescent="0.2">
      <c r="A136">
        <v>3.0916365354324701E-98</v>
      </c>
      <c r="B136">
        <v>0.66179628928643397</v>
      </c>
      <c r="C136">
        <v>0.50900000000000001</v>
      </c>
      <c r="D136">
        <v>2.3E-2</v>
      </c>
      <c r="E136">
        <v>4.7867808478100999E-94</v>
      </c>
      <c r="F136">
        <v>1</v>
      </c>
      <c r="G136" t="s">
        <v>410</v>
      </c>
      <c r="H136" t="s">
        <v>411</v>
      </c>
      <c r="I136" t="s">
        <v>410</v>
      </c>
      <c r="J136" s="1" t="str">
        <f>HYPERLINK("https://zfin.org/ZDB-GENE-060929-1170")</f>
        <v>https://zfin.org/ZDB-GENE-060929-1170</v>
      </c>
      <c r="K136" t="s">
        <v>412</v>
      </c>
    </row>
    <row r="137" spans="1:11" x14ac:dyDescent="0.2">
      <c r="A137">
        <v>4.2606883152739697E-98</v>
      </c>
      <c r="B137">
        <v>0.604703049341756</v>
      </c>
      <c r="C137">
        <v>0.43</v>
      </c>
      <c r="D137">
        <v>1.2E-2</v>
      </c>
      <c r="E137">
        <v>6.5968237185386803E-94</v>
      </c>
      <c r="F137">
        <v>1</v>
      </c>
      <c r="G137" t="s">
        <v>413</v>
      </c>
      <c r="H137" t="s">
        <v>414</v>
      </c>
      <c r="I137" t="s">
        <v>413</v>
      </c>
      <c r="J137" s="1" t="str">
        <f>HYPERLINK("https://zfin.org/ZDB-GENE-030131-7638")</f>
        <v>https://zfin.org/ZDB-GENE-030131-7638</v>
      </c>
      <c r="K137" t="s">
        <v>415</v>
      </c>
    </row>
    <row r="138" spans="1:11" x14ac:dyDescent="0.2">
      <c r="A138">
        <v>7.95318190659749E-98</v>
      </c>
      <c r="B138">
        <v>0.61008536536023195</v>
      </c>
      <c r="C138">
        <v>0.41199999999999998</v>
      </c>
      <c r="D138">
        <v>0.01</v>
      </c>
      <c r="E138">
        <v>1.2313911545984901E-93</v>
      </c>
      <c r="F138">
        <v>1</v>
      </c>
      <c r="G138" t="s">
        <v>416</v>
      </c>
      <c r="H138" t="s">
        <v>417</v>
      </c>
      <c r="I138" t="s">
        <v>416</v>
      </c>
      <c r="J138" s="1" t="str">
        <f>HYPERLINK("https://zfin.org/ZDB-GENE-040426-1300")</f>
        <v>https://zfin.org/ZDB-GENE-040426-1300</v>
      </c>
      <c r="K138" t="s">
        <v>418</v>
      </c>
    </row>
    <row r="139" spans="1:11" x14ac:dyDescent="0.2">
      <c r="A139">
        <v>9.8327188852450305E-98</v>
      </c>
      <c r="B139">
        <v>0.87319678965919101</v>
      </c>
      <c r="C139">
        <v>0.67500000000000004</v>
      </c>
      <c r="D139">
        <v>5.2999999999999999E-2</v>
      </c>
      <c r="E139">
        <v>1.52239986500249E-93</v>
      </c>
      <c r="F139">
        <v>1</v>
      </c>
      <c r="G139" t="s">
        <v>419</v>
      </c>
      <c r="H139" t="s">
        <v>420</v>
      </c>
      <c r="I139" t="s">
        <v>419</v>
      </c>
      <c r="J139" s="1" t="str">
        <f>HYPERLINK("https://zfin.org/ZDB-GENE-050320-136")</f>
        <v>https://zfin.org/ZDB-GENE-050320-136</v>
      </c>
      <c r="K139" t="s">
        <v>421</v>
      </c>
    </row>
    <row r="140" spans="1:11" x14ac:dyDescent="0.2">
      <c r="A140">
        <v>7.4795990329989001E-96</v>
      </c>
      <c r="B140">
        <v>0.51391304957426198</v>
      </c>
      <c r="C140">
        <v>0.36</v>
      </c>
      <c r="D140">
        <v>5.0000000000000001E-3</v>
      </c>
      <c r="E140">
        <v>1.15806631827922E-91</v>
      </c>
      <c r="F140">
        <v>1</v>
      </c>
      <c r="G140" t="s">
        <v>422</v>
      </c>
      <c r="H140" t="s">
        <v>423</v>
      </c>
      <c r="I140" t="s">
        <v>422</v>
      </c>
      <c r="J140" s="1" t="str">
        <f>HYPERLINK("https://zfin.org/ZDB-GENE-080219-7")</f>
        <v>https://zfin.org/ZDB-GENE-080219-7</v>
      </c>
      <c r="K140" t="s">
        <v>424</v>
      </c>
    </row>
    <row r="141" spans="1:11" x14ac:dyDescent="0.2">
      <c r="A141">
        <v>1.34813862963798E-95</v>
      </c>
      <c r="B141">
        <v>1.35781562996743</v>
      </c>
      <c r="C141">
        <v>0.91200000000000003</v>
      </c>
      <c r="D141">
        <v>0.13900000000000001</v>
      </c>
      <c r="E141">
        <v>2.0873230402684799E-91</v>
      </c>
      <c r="F141">
        <v>1</v>
      </c>
      <c r="G141" t="s">
        <v>425</v>
      </c>
      <c r="H141" t="s">
        <v>426</v>
      </c>
      <c r="I141" t="s">
        <v>425</v>
      </c>
      <c r="J141" s="1" t="str">
        <f>HYPERLINK("https://zfin.org/ZDB-GENE-041210-60")</f>
        <v>https://zfin.org/ZDB-GENE-041210-60</v>
      </c>
      <c r="K141" t="s">
        <v>427</v>
      </c>
    </row>
    <row r="142" spans="1:11" x14ac:dyDescent="0.2">
      <c r="A142">
        <v>4.3290046563984398E-95</v>
      </c>
      <c r="B142">
        <v>1.0223426922084</v>
      </c>
      <c r="C142">
        <v>0.76300000000000001</v>
      </c>
      <c r="D142">
        <v>8.2000000000000003E-2</v>
      </c>
      <c r="E142">
        <v>6.7025979095016998E-91</v>
      </c>
      <c r="F142">
        <v>1</v>
      </c>
      <c r="G142" t="s">
        <v>428</v>
      </c>
      <c r="H142" t="s">
        <v>429</v>
      </c>
      <c r="I142" t="s">
        <v>428</v>
      </c>
      <c r="J142" s="1" t="str">
        <f>HYPERLINK("https://zfin.org/ZDB-GENE-060608-2")</f>
        <v>https://zfin.org/ZDB-GENE-060608-2</v>
      </c>
      <c r="K142" t="s">
        <v>430</v>
      </c>
    </row>
    <row r="143" spans="1:11" x14ac:dyDescent="0.2">
      <c r="A143">
        <v>1.2372424922009999E-94</v>
      </c>
      <c r="B143">
        <v>0.66560388704481099</v>
      </c>
      <c r="C143">
        <v>0.41199999999999998</v>
      </c>
      <c r="D143">
        <v>1.0999999999999999E-2</v>
      </c>
      <c r="E143">
        <v>1.9156225506748101E-90</v>
      </c>
      <c r="F143">
        <v>1</v>
      </c>
      <c r="G143" t="s">
        <v>431</v>
      </c>
      <c r="H143" t="s">
        <v>432</v>
      </c>
      <c r="I143" t="s">
        <v>431</v>
      </c>
      <c r="J143" s="1" t="str">
        <f>HYPERLINK("https://zfin.org/ZDB-GENE-101209-2")</f>
        <v>https://zfin.org/ZDB-GENE-101209-2</v>
      </c>
      <c r="K143" t="s">
        <v>433</v>
      </c>
    </row>
    <row r="144" spans="1:11" x14ac:dyDescent="0.2">
      <c r="A144">
        <v>1.93025914646475E-94</v>
      </c>
      <c r="B144">
        <v>0.60406020252927395</v>
      </c>
      <c r="C144">
        <v>0.44700000000000001</v>
      </c>
      <c r="D144">
        <v>1.6E-2</v>
      </c>
      <c r="E144">
        <v>2.9886202364713699E-90</v>
      </c>
      <c r="F144">
        <v>1</v>
      </c>
      <c r="G144" t="s">
        <v>434</v>
      </c>
      <c r="H144" t="s">
        <v>435</v>
      </c>
      <c r="I144" t="s">
        <v>434</v>
      </c>
      <c r="J144" s="1" t="str">
        <f>HYPERLINK("https://zfin.org/ZDB-GENE-061013-622")</f>
        <v>https://zfin.org/ZDB-GENE-061013-622</v>
      </c>
      <c r="K144" t="s">
        <v>436</v>
      </c>
    </row>
    <row r="145" spans="1:11" x14ac:dyDescent="0.2">
      <c r="A145">
        <v>8.7655702230269804E-94</v>
      </c>
      <c r="B145">
        <v>0.61891084524547602</v>
      </c>
      <c r="C145">
        <v>0.46500000000000002</v>
      </c>
      <c r="D145">
        <v>1.7999999999999999E-2</v>
      </c>
      <c r="E145">
        <v>1.3571732376312699E-89</v>
      </c>
      <c r="F145">
        <v>1</v>
      </c>
      <c r="G145" t="s">
        <v>437</v>
      </c>
      <c r="H145" t="s">
        <v>438</v>
      </c>
      <c r="I145" t="s">
        <v>437</v>
      </c>
      <c r="J145" s="1" t="str">
        <f>HYPERLINK("https://zfin.org/ZDB-GENE-060503-723")</f>
        <v>https://zfin.org/ZDB-GENE-060503-723</v>
      </c>
      <c r="K145" t="s">
        <v>439</v>
      </c>
    </row>
    <row r="146" spans="1:11" x14ac:dyDescent="0.2">
      <c r="A146">
        <v>4.0134178753543903E-93</v>
      </c>
      <c r="B146">
        <v>0.61315417212047996</v>
      </c>
      <c r="C146">
        <v>0.42099999999999999</v>
      </c>
      <c r="D146">
        <v>1.2999999999999999E-2</v>
      </c>
      <c r="E146">
        <v>6.2139748964112101E-89</v>
      </c>
      <c r="F146">
        <v>1</v>
      </c>
      <c r="G146" t="s">
        <v>440</v>
      </c>
      <c r="H146" t="s">
        <v>441</v>
      </c>
      <c r="I146" t="s">
        <v>442</v>
      </c>
      <c r="J146" s="1" t="str">
        <f>HYPERLINK("https://zfin.org/")</f>
        <v>https://zfin.org/</v>
      </c>
      <c r="K146" t="s">
        <v>443</v>
      </c>
    </row>
    <row r="147" spans="1:11" x14ac:dyDescent="0.2">
      <c r="A147">
        <v>8.09438800907971E-93</v>
      </c>
      <c r="B147">
        <v>0.51555006480917498</v>
      </c>
      <c r="C147">
        <v>0.43</v>
      </c>
      <c r="D147">
        <v>1.4E-2</v>
      </c>
      <c r="E147">
        <v>1.2532540954458099E-88</v>
      </c>
      <c r="F147">
        <v>1</v>
      </c>
      <c r="G147" t="s">
        <v>444</v>
      </c>
      <c r="H147" t="s">
        <v>445</v>
      </c>
      <c r="I147" t="s">
        <v>444</v>
      </c>
      <c r="J147" s="1" t="str">
        <f>HYPERLINK("https://zfin.org/ZDB-GENE-050419-109")</f>
        <v>https://zfin.org/ZDB-GENE-050419-109</v>
      </c>
      <c r="K147" t="s">
        <v>446</v>
      </c>
    </row>
    <row r="148" spans="1:11" x14ac:dyDescent="0.2">
      <c r="A148">
        <v>1.36803918385715E-92</v>
      </c>
      <c r="B148">
        <v>0.47614698267646199</v>
      </c>
      <c r="C148">
        <v>0.34200000000000003</v>
      </c>
      <c r="D148">
        <v>4.0000000000000001E-3</v>
      </c>
      <c r="E148">
        <v>2.1181350683660199E-88</v>
      </c>
      <c r="F148">
        <v>1</v>
      </c>
      <c r="G148" t="s">
        <v>447</v>
      </c>
      <c r="H148" t="s">
        <v>448</v>
      </c>
      <c r="I148" t="s">
        <v>447</v>
      </c>
      <c r="J148" s="1" t="str">
        <f>HYPERLINK("https://zfin.org/ZDB-GENE-040108-10")</f>
        <v>https://zfin.org/ZDB-GENE-040108-10</v>
      </c>
      <c r="K148" t="s">
        <v>449</v>
      </c>
    </row>
    <row r="149" spans="1:11" x14ac:dyDescent="0.2">
      <c r="A149">
        <v>1.52181745315579E-92</v>
      </c>
      <c r="B149">
        <v>0.59371228066127302</v>
      </c>
      <c r="C149">
        <v>0.5</v>
      </c>
      <c r="D149">
        <v>2.3E-2</v>
      </c>
      <c r="E149">
        <v>2.3562299627211101E-88</v>
      </c>
      <c r="F149">
        <v>1</v>
      </c>
      <c r="G149" t="s">
        <v>450</v>
      </c>
      <c r="H149" t="s">
        <v>451</v>
      </c>
      <c r="I149" t="s">
        <v>450</v>
      </c>
      <c r="J149" s="1" t="str">
        <f>HYPERLINK("https://zfin.org/ZDB-GENE-081031-7")</f>
        <v>https://zfin.org/ZDB-GENE-081031-7</v>
      </c>
      <c r="K149" t="s">
        <v>452</v>
      </c>
    </row>
    <row r="150" spans="1:11" x14ac:dyDescent="0.2">
      <c r="A150">
        <v>1.7500709008785202E-92</v>
      </c>
      <c r="B150">
        <v>0.61279577923067896</v>
      </c>
      <c r="C150">
        <v>0.41199999999999998</v>
      </c>
      <c r="D150">
        <v>1.2E-2</v>
      </c>
      <c r="E150">
        <v>2.7096347758302101E-88</v>
      </c>
      <c r="F150">
        <v>1</v>
      </c>
      <c r="G150" t="s">
        <v>453</v>
      </c>
      <c r="H150" t="s">
        <v>454</v>
      </c>
      <c r="I150" t="s">
        <v>453</v>
      </c>
      <c r="J150" s="1" t="str">
        <f>HYPERLINK("https://zfin.org/ZDB-GENE-130530-597")</f>
        <v>https://zfin.org/ZDB-GENE-130530-597</v>
      </c>
      <c r="K150" t="s">
        <v>455</v>
      </c>
    </row>
    <row r="151" spans="1:11" x14ac:dyDescent="0.2">
      <c r="A151">
        <v>1.7917158494819901E-92</v>
      </c>
      <c r="B151">
        <v>0.51557830356848999</v>
      </c>
      <c r="C151">
        <v>0.36799999999999999</v>
      </c>
      <c r="D151">
        <v>7.0000000000000001E-3</v>
      </c>
      <c r="E151">
        <v>2.7741136497529702E-88</v>
      </c>
      <c r="F151">
        <v>1</v>
      </c>
      <c r="G151" t="s">
        <v>456</v>
      </c>
      <c r="H151" t="s">
        <v>457</v>
      </c>
      <c r="I151" t="s">
        <v>456</v>
      </c>
      <c r="J151" s="1" t="str">
        <f>HYPERLINK("https://zfin.org/ZDB-GENE-050208-341")</f>
        <v>https://zfin.org/ZDB-GENE-050208-341</v>
      </c>
      <c r="K151" t="s">
        <v>458</v>
      </c>
    </row>
    <row r="152" spans="1:11" x14ac:dyDescent="0.2">
      <c r="A152">
        <v>2.13292612158526E-92</v>
      </c>
      <c r="B152">
        <v>3.3732288107241302</v>
      </c>
      <c r="C152">
        <v>1</v>
      </c>
      <c r="D152">
        <v>0.32100000000000001</v>
      </c>
      <c r="E152">
        <v>3.3024095140504499E-88</v>
      </c>
      <c r="F152">
        <v>1</v>
      </c>
      <c r="G152" t="s">
        <v>459</v>
      </c>
      <c r="H152" t="s">
        <v>460</v>
      </c>
      <c r="I152" t="s">
        <v>459</v>
      </c>
      <c r="J152" s="1" t="str">
        <f>HYPERLINK("https://zfin.org/ZDB-GENE-080220-29")</f>
        <v>https://zfin.org/ZDB-GENE-080220-29</v>
      </c>
      <c r="K152" t="s">
        <v>461</v>
      </c>
    </row>
    <row r="153" spans="1:11" x14ac:dyDescent="0.2">
      <c r="A153">
        <v>7.6040092811600996E-92</v>
      </c>
      <c r="B153">
        <v>1.3839814137258399</v>
      </c>
      <c r="C153">
        <v>0.96499999999999997</v>
      </c>
      <c r="D153">
        <v>0.187</v>
      </c>
      <c r="E153">
        <v>1.17732875700202E-87</v>
      </c>
      <c r="F153">
        <v>1</v>
      </c>
      <c r="G153" t="s">
        <v>462</v>
      </c>
      <c r="H153" t="s">
        <v>463</v>
      </c>
      <c r="I153" t="s">
        <v>462</v>
      </c>
      <c r="J153" s="1" t="str">
        <f>HYPERLINK("https://zfin.org/ZDB-GENE-060825-160")</f>
        <v>https://zfin.org/ZDB-GENE-060825-160</v>
      </c>
      <c r="K153" t="s">
        <v>464</v>
      </c>
    </row>
    <row r="154" spans="1:11" x14ac:dyDescent="0.2">
      <c r="A154">
        <v>1.2587142308872101E-91</v>
      </c>
      <c r="B154">
        <v>0.69943231815050699</v>
      </c>
      <c r="C154">
        <v>0.51800000000000002</v>
      </c>
      <c r="D154">
        <v>2.8000000000000001E-2</v>
      </c>
      <c r="E154">
        <v>1.9488672436826601E-87</v>
      </c>
      <c r="F154">
        <v>1</v>
      </c>
      <c r="G154" t="s">
        <v>465</v>
      </c>
      <c r="H154" t="s">
        <v>466</v>
      </c>
      <c r="I154" t="s">
        <v>465</v>
      </c>
      <c r="J154" s="1" t="str">
        <f>HYPERLINK("https://zfin.org/ZDB-GENE-060526-173")</f>
        <v>https://zfin.org/ZDB-GENE-060526-173</v>
      </c>
      <c r="K154" t="s">
        <v>467</v>
      </c>
    </row>
    <row r="155" spans="1:11" x14ac:dyDescent="0.2">
      <c r="A155">
        <v>1.68414390632754E-91</v>
      </c>
      <c r="B155">
        <v>0.65566545054021197</v>
      </c>
      <c r="C155">
        <v>0.46500000000000002</v>
      </c>
      <c r="D155">
        <v>1.9E-2</v>
      </c>
      <c r="E155">
        <v>2.6075600101669402E-87</v>
      </c>
      <c r="F155">
        <v>1</v>
      </c>
      <c r="G155" t="s">
        <v>468</v>
      </c>
      <c r="H155" t="s">
        <v>469</v>
      </c>
      <c r="I155" t="s">
        <v>468</v>
      </c>
      <c r="J155" s="1" t="str">
        <f>HYPERLINK("https://zfin.org/ZDB-GENE-051120-129")</f>
        <v>https://zfin.org/ZDB-GENE-051120-129</v>
      </c>
      <c r="K155" t="s">
        <v>470</v>
      </c>
    </row>
    <row r="156" spans="1:11" x14ac:dyDescent="0.2">
      <c r="A156">
        <v>3.3022122393136899E-91</v>
      </c>
      <c r="B156">
        <v>0.83145251819107402</v>
      </c>
      <c r="C156">
        <v>0.68400000000000005</v>
      </c>
      <c r="D156">
        <v>5.8999999999999997E-2</v>
      </c>
      <c r="E156">
        <v>5.11281521012938E-87</v>
      </c>
      <c r="F156">
        <v>1</v>
      </c>
      <c r="G156" t="s">
        <v>471</v>
      </c>
      <c r="H156" t="s">
        <v>472</v>
      </c>
      <c r="I156" t="s">
        <v>471</v>
      </c>
      <c r="J156" s="1" t="str">
        <f>HYPERLINK("https://zfin.org/ZDB-GENE-070424-166")</f>
        <v>https://zfin.org/ZDB-GENE-070424-166</v>
      </c>
      <c r="K156" t="s">
        <v>473</v>
      </c>
    </row>
    <row r="157" spans="1:11" x14ac:dyDescent="0.2">
      <c r="A157">
        <v>3.36927265612406E-91</v>
      </c>
      <c r="B157">
        <v>0.660471771936879</v>
      </c>
      <c r="C157">
        <v>0.49099999999999999</v>
      </c>
      <c r="D157">
        <v>2.3E-2</v>
      </c>
      <c r="E157">
        <v>5.2166448534768801E-87</v>
      </c>
      <c r="F157">
        <v>1</v>
      </c>
      <c r="G157" t="s">
        <v>474</v>
      </c>
      <c r="H157" t="s">
        <v>475</v>
      </c>
      <c r="I157" t="s">
        <v>474</v>
      </c>
      <c r="J157" s="1" t="str">
        <f>HYPERLINK("https://zfin.org/ZDB-GENE-040426-1711")</f>
        <v>https://zfin.org/ZDB-GENE-040426-1711</v>
      </c>
      <c r="K157" t="s">
        <v>476</v>
      </c>
    </row>
    <row r="158" spans="1:11" x14ac:dyDescent="0.2">
      <c r="A158">
        <v>7.7145017768519403E-91</v>
      </c>
      <c r="B158">
        <v>0.61303216588877496</v>
      </c>
      <c r="C158">
        <v>0.43</v>
      </c>
      <c r="D158">
        <v>1.4999999999999999E-2</v>
      </c>
      <c r="E158">
        <v>1.1944363101099899E-86</v>
      </c>
      <c r="F158">
        <v>1</v>
      </c>
      <c r="G158" t="s">
        <v>477</v>
      </c>
      <c r="H158" t="s">
        <v>478</v>
      </c>
      <c r="I158" t="s">
        <v>477</v>
      </c>
      <c r="J158" s="1" t="str">
        <f>HYPERLINK("https://zfin.org/ZDB-GENE-060929-556")</f>
        <v>https://zfin.org/ZDB-GENE-060929-556</v>
      </c>
      <c r="K158" t="s">
        <v>479</v>
      </c>
    </row>
    <row r="159" spans="1:11" x14ac:dyDescent="0.2">
      <c r="A159">
        <v>1.64107214698043E-90</v>
      </c>
      <c r="B159">
        <v>1.80503617488407</v>
      </c>
      <c r="C159">
        <v>0.97399999999999998</v>
      </c>
      <c r="D159">
        <v>0.22800000000000001</v>
      </c>
      <c r="E159">
        <v>2.5408720051698001E-86</v>
      </c>
      <c r="F159">
        <v>1</v>
      </c>
      <c r="G159" t="s">
        <v>480</v>
      </c>
      <c r="H159" t="s">
        <v>481</v>
      </c>
      <c r="I159" t="s">
        <v>480</v>
      </c>
      <c r="J159" s="1" t="str">
        <f>HYPERLINK("https://zfin.org/ZDB-GENE-070424-267")</f>
        <v>https://zfin.org/ZDB-GENE-070424-267</v>
      </c>
      <c r="K159" t="s">
        <v>482</v>
      </c>
    </row>
    <row r="160" spans="1:11" x14ac:dyDescent="0.2">
      <c r="A160">
        <v>3.9768277658785803E-90</v>
      </c>
      <c r="B160">
        <v>1.8923477643058999</v>
      </c>
      <c r="C160">
        <v>0.99099999999999999</v>
      </c>
      <c r="D160">
        <v>0.26600000000000001</v>
      </c>
      <c r="E160">
        <v>6.1573224299098E-86</v>
      </c>
      <c r="F160">
        <v>1</v>
      </c>
      <c r="G160" t="s">
        <v>483</v>
      </c>
      <c r="H160" t="s">
        <v>484</v>
      </c>
      <c r="I160" t="s">
        <v>483</v>
      </c>
      <c r="J160" s="1" t="str">
        <f>HYPERLINK("https://zfin.org/ZDB-GENE-081028-55")</f>
        <v>https://zfin.org/ZDB-GENE-081028-55</v>
      </c>
      <c r="K160" t="s">
        <v>485</v>
      </c>
    </row>
    <row r="161" spans="1:11" x14ac:dyDescent="0.2">
      <c r="A161">
        <v>4.5210849044717398E-90</v>
      </c>
      <c r="B161">
        <v>0.61436256514167198</v>
      </c>
      <c r="C161">
        <v>0.49099999999999999</v>
      </c>
      <c r="D161">
        <v>2.4E-2</v>
      </c>
      <c r="E161">
        <v>6.9999957575935996E-86</v>
      </c>
      <c r="F161">
        <v>1</v>
      </c>
      <c r="G161" t="s">
        <v>486</v>
      </c>
      <c r="H161" t="s">
        <v>487</v>
      </c>
      <c r="I161" t="s">
        <v>486</v>
      </c>
      <c r="J161" s="1" t="str">
        <f>HYPERLINK("https://zfin.org/ZDB-GENE-120215-146")</f>
        <v>https://zfin.org/ZDB-GENE-120215-146</v>
      </c>
      <c r="K161" t="s">
        <v>488</v>
      </c>
    </row>
    <row r="162" spans="1:11" x14ac:dyDescent="0.2">
      <c r="A162">
        <v>6.0066756622804403E-90</v>
      </c>
      <c r="B162">
        <v>0.46881243911943898</v>
      </c>
      <c r="C162">
        <v>0.36799999999999999</v>
      </c>
      <c r="D162">
        <v>8.0000000000000002E-3</v>
      </c>
      <c r="E162">
        <v>9.3001359279088105E-86</v>
      </c>
      <c r="F162">
        <v>1</v>
      </c>
      <c r="G162" t="s">
        <v>489</v>
      </c>
      <c r="H162" t="s">
        <v>490</v>
      </c>
      <c r="I162" t="s">
        <v>489</v>
      </c>
      <c r="J162" s="1" t="str">
        <f>HYPERLINK("https://zfin.org/ZDB-GENE-060825-339")</f>
        <v>https://zfin.org/ZDB-GENE-060825-339</v>
      </c>
      <c r="K162" t="s">
        <v>491</v>
      </c>
    </row>
    <row r="163" spans="1:11" x14ac:dyDescent="0.2">
      <c r="A163">
        <v>7.6958086419883699E-90</v>
      </c>
      <c r="B163">
        <v>0.49036903793446601</v>
      </c>
      <c r="C163">
        <v>0.33300000000000002</v>
      </c>
      <c r="D163">
        <v>4.0000000000000001E-3</v>
      </c>
      <c r="E163">
        <v>1.19154205203906E-85</v>
      </c>
      <c r="F163">
        <v>1</v>
      </c>
      <c r="G163" t="s">
        <v>492</v>
      </c>
      <c r="H163" t="s">
        <v>493</v>
      </c>
      <c r="I163" t="s">
        <v>492</v>
      </c>
      <c r="J163" s="1" t="str">
        <f>HYPERLINK("https://zfin.org/ZDB-GENE-140303-1")</f>
        <v>https://zfin.org/ZDB-GENE-140303-1</v>
      </c>
      <c r="K163" t="s">
        <v>494</v>
      </c>
    </row>
    <row r="164" spans="1:11" x14ac:dyDescent="0.2">
      <c r="A164">
        <v>1.51786734963152E-89</v>
      </c>
      <c r="B164">
        <v>0.61877480683437402</v>
      </c>
      <c r="C164">
        <v>0.44700000000000001</v>
      </c>
      <c r="D164">
        <v>1.7999999999999999E-2</v>
      </c>
      <c r="E164">
        <v>2.3501140174344801E-85</v>
      </c>
      <c r="F164">
        <v>1</v>
      </c>
      <c r="G164" t="s">
        <v>495</v>
      </c>
      <c r="H164" t="s">
        <v>496</v>
      </c>
      <c r="I164" t="s">
        <v>495</v>
      </c>
      <c r="J164" s="1" t="str">
        <f>HYPERLINK("https://zfin.org/ZDB-GENE-041114-110")</f>
        <v>https://zfin.org/ZDB-GENE-041114-110</v>
      </c>
      <c r="K164" t="s">
        <v>497</v>
      </c>
    </row>
    <row r="165" spans="1:11" x14ac:dyDescent="0.2">
      <c r="A165">
        <v>4.1007503763558502E-89</v>
      </c>
      <c r="B165">
        <v>0.39868657193836099</v>
      </c>
      <c r="C165">
        <v>0.307</v>
      </c>
      <c r="D165">
        <v>2E-3</v>
      </c>
      <c r="E165">
        <v>6.3491918077117697E-85</v>
      </c>
      <c r="F165">
        <v>1</v>
      </c>
      <c r="G165" t="s">
        <v>498</v>
      </c>
      <c r="H165" t="s">
        <v>499</v>
      </c>
      <c r="I165" t="s">
        <v>498</v>
      </c>
      <c r="J165" s="1" t="str">
        <f>HYPERLINK("https://zfin.org/ZDB-GENE-081104-479")</f>
        <v>https://zfin.org/ZDB-GENE-081104-479</v>
      </c>
      <c r="K165" t="s">
        <v>500</v>
      </c>
    </row>
    <row r="166" spans="1:11" x14ac:dyDescent="0.2">
      <c r="A166">
        <v>6.2207330742367901E-89</v>
      </c>
      <c r="B166">
        <v>1.21878048519933</v>
      </c>
      <c r="C166">
        <v>0.56100000000000005</v>
      </c>
      <c r="D166">
        <v>0.04</v>
      </c>
      <c r="E166">
        <v>9.6315610188408196E-85</v>
      </c>
      <c r="F166">
        <v>1</v>
      </c>
      <c r="G166" t="s">
        <v>501</v>
      </c>
      <c r="H166" t="s">
        <v>502</v>
      </c>
      <c r="I166" t="s">
        <v>501</v>
      </c>
      <c r="J166" s="1" t="str">
        <f>HYPERLINK("https://zfin.org/ZDB-GENE-030131-7778")</f>
        <v>https://zfin.org/ZDB-GENE-030131-7778</v>
      </c>
      <c r="K166" t="s">
        <v>503</v>
      </c>
    </row>
    <row r="167" spans="1:11" x14ac:dyDescent="0.2">
      <c r="A167">
        <v>7.3287134546551107E-89</v>
      </c>
      <c r="B167">
        <v>0.72893340808484397</v>
      </c>
      <c r="C167">
        <v>0.38600000000000001</v>
      </c>
      <c r="D167">
        <v>1.0999999999999999E-2</v>
      </c>
      <c r="E167">
        <v>1.13470470418425E-84</v>
      </c>
      <c r="F167">
        <v>1</v>
      </c>
      <c r="G167" t="s">
        <v>504</v>
      </c>
      <c r="H167" t="s">
        <v>505</v>
      </c>
      <c r="I167" t="s">
        <v>504</v>
      </c>
      <c r="J167" s="1" t="str">
        <f>HYPERLINK("https://zfin.org/ZDB-GENE-121030-4")</f>
        <v>https://zfin.org/ZDB-GENE-121030-4</v>
      </c>
      <c r="K167" t="s">
        <v>506</v>
      </c>
    </row>
    <row r="168" spans="1:11" x14ac:dyDescent="0.2">
      <c r="A168">
        <v>8.2599886683452595E-89</v>
      </c>
      <c r="B168">
        <v>0.91992770670601298</v>
      </c>
      <c r="C168">
        <v>0.746</v>
      </c>
      <c r="D168">
        <v>7.6999999999999999E-2</v>
      </c>
      <c r="E168">
        <v>1.2788940455199E-84</v>
      </c>
      <c r="F168">
        <v>1</v>
      </c>
      <c r="G168" t="s">
        <v>507</v>
      </c>
      <c r="H168" t="s">
        <v>508</v>
      </c>
      <c r="I168" t="s">
        <v>507</v>
      </c>
      <c r="J168" s="1" t="str">
        <f>HYPERLINK("https://zfin.org/ZDB-GENE-031001-3")</f>
        <v>https://zfin.org/ZDB-GENE-031001-3</v>
      </c>
      <c r="K168" t="s">
        <v>509</v>
      </c>
    </row>
    <row r="169" spans="1:11" x14ac:dyDescent="0.2">
      <c r="A169">
        <v>1.5244877083735499E-88</v>
      </c>
      <c r="B169">
        <v>0.58119396247509902</v>
      </c>
      <c r="C169">
        <v>0.45600000000000002</v>
      </c>
      <c r="D169">
        <v>0.02</v>
      </c>
      <c r="E169">
        <v>2.36036431887477E-84</v>
      </c>
      <c r="F169">
        <v>1</v>
      </c>
      <c r="G169" t="s">
        <v>510</v>
      </c>
      <c r="H169" t="s">
        <v>511</v>
      </c>
      <c r="I169" t="s">
        <v>510</v>
      </c>
      <c r="J169" s="1" t="str">
        <f>HYPERLINK("https://zfin.org/ZDB-GENE-130531-20")</f>
        <v>https://zfin.org/ZDB-GENE-130531-20</v>
      </c>
      <c r="K169" t="s">
        <v>512</v>
      </c>
    </row>
    <row r="170" spans="1:11" x14ac:dyDescent="0.2">
      <c r="A170">
        <v>4.38314768819782E-88</v>
      </c>
      <c r="B170">
        <v>0.60496192829053697</v>
      </c>
      <c r="C170">
        <v>0.44700000000000001</v>
      </c>
      <c r="D170">
        <v>1.9E-2</v>
      </c>
      <c r="E170">
        <v>6.7864275656366903E-84</v>
      </c>
      <c r="F170">
        <v>1</v>
      </c>
      <c r="G170" t="s">
        <v>513</v>
      </c>
      <c r="H170" t="s">
        <v>514</v>
      </c>
      <c r="I170" t="s">
        <v>513</v>
      </c>
      <c r="J170" s="1" t="str">
        <f>HYPERLINK("https://zfin.org/ZDB-GENE-101216-2")</f>
        <v>https://zfin.org/ZDB-GENE-101216-2</v>
      </c>
      <c r="K170" t="s">
        <v>515</v>
      </c>
    </row>
    <row r="171" spans="1:11" x14ac:dyDescent="0.2">
      <c r="A171">
        <v>1.27510506318866E-87</v>
      </c>
      <c r="B171">
        <v>0.58015684344343599</v>
      </c>
      <c r="C171">
        <v>0.47399999999999998</v>
      </c>
      <c r="D171">
        <v>2.3E-2</v>
      </c>
      <c r="E171">
        <v>1.9742451693350002E-83</v>
      </c>
      <c r="F171">
        <v>1</v>
      </c>
      <c r="G171" t="s">
        <v>516</v>
      </c>
      <c r="H171" t="s">
        <v>517</v>
      </c>
      <c r="I171" t="s">
        <v>516</v>
      </c>
      <c r="J171" s="1" t="str">
        <f>HYPERLINK("https://zfin.org/ZDB-GENE-160114-44")</f>
        <v>https://zfin.org/ZDB-GENE-160114-44</v>
      </c>
      <c r="K171" t="s">
        <v>518</v>
      </c>
    </row>
    <row r="172" spans="1:11" x14ac:dyDescent="0.2">
      <c r="A172">
        <v>1.4123044272793901E-87</v>
      </c>
      <c r="B172">
        <v>0.67122646520141005</v>
      </c>
      <c r="C172">
        <v>0.57899999999999996</v>
      </c>
      <c r="D172">
        <v>4.1000000000000002E-2</v>
      </c>
      <c r="E172">
        <v>2.1866709447566799E-83</v>
      </c>
      <c r="F172">
        <v>1</v>
      </c>
      <c r="G172" t="s">
        <v>519</v>
      </c>
      <c r="H172" t="s">
        <v>520</v>
      </c>
      <c r="I172" t="s">
        <v>519</v>
      </c>
      <c r="J172" s="1" t="str">
        <f>HYPERLINK("https://zfin.org/ZDB-GENE-030318-3")</f>
        <v>https://zfin.org/ZDB-GENE-030318-3</v>
      </c>
      <c r="K172" t="s">
        <v>521</v>
      </c>
    </row>
    <row r="173" spans="1:11" x14ac:dyDescent="0.2">
      <c r="A173">
        <v>2.2442807863534002E-87</v>
      </c>
      <c r="B173">
        <v>2.17481712436871</v>
      </c>
      <c r="C173">
        <v>0.99099999999999999</v>
      </c>
      <c r="D173">
        <v>0.30599999999999999</v>
      </c>
      <c r="E173">
        <v>3.4748199415109798E-83</v>
      </c>
      <c r="F173">
        <v>1</v>
      </c>
      <c r="G173" t="s">
        <v>522</v>
      </c>
      <c r="H173" t="s">
        <v>523</v>
      </c>
      <c r="I173" t="s">
        <v>522</v>
      </c>
      <c r="J173" s="1" t="str">
        <f>HYPERLINK("https://zfin.org/ZDB-GENE-040912-60")</f>
        <v>https://zfin.org/ZDB-GENE-040912-60</v>
      </c>
      <c r="K173" t="s">
        <v>524</v>
      </c>
    </row>
    <row r="174" spans="1:11" x14ac:dyDescent="0.2">
      <c r="A174">
        <v>2.7164120776117199E-87</v>
      </c>
      <c r="B174">
        <v>0.54237689676191003</v>
      </c>
      <c r="C174">
        <v>0.41199999999999998</v>
      </c>
      <c r="D174">
        <v>1.4E-2</v>
      </c>
      <c r="E174">
        <v>4.20582081976623E-83</v>
      </c>
      <c r="F174">
        <v>1</v>
      </c>
      <c r="G174" t="s">
        <v>525</v>
      </c>
      <c r="H174" t="s">
        <v>526</v>
      </c>
      <c r="I174" t="s">
        <v>525</v>
      </c>
      <c r="J174" s="1" t="str">
        <f>HYPERLINK("https://zfin.org/ZDB-GENE-060929-128")</f>
        <v>https://zfin.org/ZDB-GENE-060929-128</v>
      </c>
      <c r="K174" t="s">
        <v>527</v>
      </c>
    </row>
    <row r="175" spans="1:11" x14ac:dyDescent="0.2">
      <c r="A175">
        <v>5.1331515082202801E-87</v>
      </c>
      <c r="B175">
        <v>0.56455092290922904</v>
      </c>
      <c r="C175">
        <v>0.35099999999999998</v>
      </c>
      <c r="D175">
        <v>7.0000000000000001E-3</v>
      </c>
      <c r="E175">
        <v>7.9476584801774701E-83</v>
      </c>
      <c r="F175">
        <v>1</v>
      </c>
      <c r="G175" t="s">
        <v>528</v>
      </c>
      <c r="H175" t="s">
        <v>529</v>
      </c>
      <c r="I175" t="s">
        <v>528</v>
      </c>
      <c r="J175" s="1" t="str">
        <f>HYPERLINK("https://zfin.org/")</f>
        <v>https://zfin.org/</v>
      </c>
      <c r="K175" t="s">
        <v>530</v>
      </c>
    </row>
    <row r="176" spans="1:11" x14ac:dyDescent="0.2">
      <c r="A176">
        <v>5.4253228345319999E-87</v>
      </c>
      <c r="B176">
        <v>1.08839465964001</v>
      </c>
      <c r="C176">
        <v>0.78100000000000003</v>
      </c>
      <c r="D176">
        <v>9.5000000000000001E-2</v>
      </c>
      <c r="E176">
        <v>8.4000273447058994E-83</v>
      </c>
      <c r="F176">
        <v>1</v>
      </c>
      <c r="G176" t="s">
        <v>531</v>
      </c>
      <c r="H176" t="s">
        <v>532</v>
      </c>
      <c r="I176" t="s">
        <v>531</v>
      </c>
      <c r="J176" s="1" t="str">
        <f>HYPERLINK("https://zfin.org/ZDB-GENE-131126-80")</f>
        <v>https://zfin.org/ZDB-GENE-131126-80</v>
      </c>
      <c r="K176" t="s">
        <v>533</v>
      </c>
    </row>
    <row r="177" spans="1:11" x14ac:dyDescent="0.2">
      <c r="A177">
        <v>5.5964268854526003E-87</v>
      </c>
      <c r="B177">
        <v>0.60935013632020296</v>
      </c>
      <c r="C177">
        <v>0.5</v>
      </c>
      <c r="D177">
        <v>2.7E-2</v>
      </c>
      <c r="E177">
        <v>8.66494774674626E-83</v>
      </c>
      <c r="F177">
        <v>1</v>
      </c>
      <c r="G177" t="s">
        <v>534</v>
      </c>
      <c r="H177" t="s">
        <v>535</v>
      </c>
      <c r="I177" t="s">
        <v>534</v>
      </c>
      <c r="J177" s="1" t="str">
        <f>HYPERLINK("https://zfin.org/ZDB-GENE-030131-3065")</f>
        <v>https://zfin.org/ZDB-GENE-030131-3065</v>
      </c>
      <c r="K177" t="s">
        <v>536</v>
      </c>
    </row>
    <row r="178" spans="1:11" x14ac:dyDescent="0.2">
      <c r="A178">
        <v>1.2499932806972101E-86</v>
      </c>
      <c r="B178">
        <v>0.61982964082789005</v>
      </c>
      <c r="C178">
        <v>0.40400000000000003</v>
      </c>
      <c r="D178">
        <v>1.4E-2</v>
      </c>
      <c r="E178">
        <v>1.9353645965034899E-82</v>
      </c>
      <c r="F178">
        <v>1</v>
      </c>
      <c r="G178" t="s">
        <v>537</v>
      </c>
      <c r="H178" t="s">
        <v>538</v>
      </c>
      <c r="I178" t="s">
        <v>537</v>
      </c>
      <c r="J178" s="1" t="str">
        <f>HYPERLINK("https://zfin.org/ZDB-GENE-030131-7672")</f>
        <v>https://zfin.org/ZDB-GENE-030131-7672</v>
      </c>
      <c r="K178" t="s">
        <v>539</v>
      </c>
    </row>
    <row r="179" spans="1:11" x14ac:dyDescent="0.2">
      <c r="A179">
        <v>1.8994186263780099E-85</v>
      </c>
      <c r="B179">
        <v>1.09291405391185</v>
      </c>
      <c r="C179">
        <v>0.54400000000000004</v>
      </c>
      <c r="D179">
        <v>3.7999999999999999E-2</v>
      </c>
      <c r="E179">
        <v>2.9408698592210698E-81</v>
      </c>
      <c r="F179">
        <v>1</v>
      </c>
      <c r="G179" t="s">
        <v>540</v>
      </c>
      <c r="H179" t="s">
        <v>541</v>
      </c>
      <c r="I179" t="s">
        <v>540</v>
      </c>
      <c r="J179" s="1" t="str">
        <f>HYPERLINK("https://zfin.org/ZDB-GENE-030131-7291")</f>
        <v>https://zfin.org/ZDB-GENE-030131-7291</v>
      </c>
      <c r="K179" t="s">
        <v>542</v>
      </c>
    </row>
    <row r="180" spans="1:11" x14ac:dyDescent="0.2">
      <c r="A180">
        <v>4.4734155011280801E-85</v>
      </c>
      <c r="B180">
        <v>0.66326767090438898</v>
      </c>
      <c r="C180">
        <v>0.61399999999999999</v>
      </c>
      <c r="D180">
        <v>4.9000000000000002E-2</v>
      </c>
      <c r="E180">
        <v>6.92618922039661E-81</v>
      </c>
      <c r="F180">
        <v>1</v>
      </c>
      <c r="G180" t="s">
        <v>543</v>
      </c>
      <c r="H180" t="s">
        <v>544</v>
      </c>
      <c r="I180" t="s">
        <v>543</v>
      </c>
      <c r="J180" s="1" t="str">
        <f>HYPERLINK("https://zfin.org/ZDB-GENE-091204-322")</f>
        <v>https://zfin.org/ZDB-GENE-091204-322</v>
      </c>
      <c r="K180" t="s">
        <v>545</v>
      </c>
    </row>
    <row r="181" spans="1:11" x14ac:dyDescent="0.2">
      <c r="A181">
        <v>3.4392970271838202E-84</v>
      </c>
      <c r="B181">
        <v>0.561625565769174</v>
      </c>
      <c r="C181">
        <v>0.38600000000000001</v>
      </c>
      <c r="D181">
        <v>1.2E-2</v>
      </c>
      <c r="E181">
        <v>5.3250635871887097E-80</v>
      </c>
      <c r="F181">
        <v>1</v>
      </c>
      <c r="G181" t="s">
        <v>546</v>
      </c>
      <c r="H181" t="s">
        <v>547</v>
      </c>
      <c r="I181" t="s">
        <v>546</v>
      </c>
      <c r="J181" s="1" t="str">
        <f>HYPERLINK("https://zfin.org/")</f>
        <v>https://zfin.org/</v>
      </c>
      <c r="K181" t="s">
        <v>548</v>
      </c>
    </row>
    <row r="182" spans="1:11" x14ac:dyDescent="0.2">
      <c r="A182">
        <v>4.7103122160589896E-84</v>
      </c>
      <c r="B182">
        <v>0.64058596138663404</v>
      </c>
      <c r="C182">
        <v>0.48199999999999998</v>
      </c>
      <c r="D182">
        <v>2.7E-2</v>
      </c>
      <c r="E182">
        <v>7.2929764041241296E-80</v>
      </c>
      <c r="F182">
        <v>1</v>
      </c>
      <c r="G182" t="s">
        <v>549</v>
      </c>
      <c r="H182" t="s">
        <v>550</v>
      </c>
      <c r="I182" t="s">
        <v>549</v>
      </c>
      <c r="J182" s="1" t="str">
        <f>HYPERLINK("https://zfin.org/ZDB-GENE-020416-3")</f>
        <v>https://zfin.org/ZDB-GENE-020416-3</v>
      </c>
      <c r="K182" t="s">
        <v>551</v>
      </c>
    </row>
    <row r="183" spans="1:11" x14ac:dyDescent="0.2">
      <c r="A183">
        <v>8.5923725262134099E-84</v>
      </c>
      <c r="B183">
        <v>0.47256040053203902</v>
      </c>
      <c r="C183">
        <v>0.36</v>
      </c>
      <c r="D183">
        <v>8.9999999999999993E-3</v>
      </c>
      <c r="E183">
        <v>1.3303570382336199E-79</v>
      </c>
      <c r="F183">
        <v>1</v>
      </c>
      <c r="G183" t="s">
        <v>552</v>
      </c>
      <c r="H183" t="s">
        <v>553</v>
      </c>
      <c r="I183" t="s">
        <v>552</v>
      </c>
      <c r="J183" s="1" t="str">
        <f>HYPERLINK("https://zfin.org/ZDB-GENE-030131-6414")</f>
        <v>https://zfin.org/ZDB-GENE-030131-6414</v>
      </c>
      <c r="K183" t="s">
        <v>554</v>
      </c>
    </row>
    <row r="184" spans="1:11" x14ac:dyDescent="0.2">
      <c r="A184">
        <v>1.1015629188136099E-83</v>
      </c>
      <c r="B184">
        <v>0.87534078736904897</v>
      </c>
      <c r="C184">
        <v>0.623</v>
      </c>
      <c r="D184">
        <v>5.6000000000000001E-2</v>
      </c>
      <c r="E184">
        <v>1.70554986719912E-79</v>
      </c>
      <c r="F184">
        <v>1</v>
      </c>
      <c r="G184" t="s">
        <v>555</v>
      </c>
      <c r="H184" t="s">
        <v>556</v>
      </c>
      <c r="I184" t="s">
        <v>555</v>
      </c>
      <c r="J184" s="1" t="str">
        <f>HYPERLINK("https://zfin.org/ZDB-GENE-040711-4")</f>
        <v>https://zfin.org/ZDB-GENE-040711-4</v>
      </c>
      <c r="K184" t="s">
        <v>557</v>
      </c>
    </row>
    <row r="185" spans="1:11" x14ac:dyDescent="0.2">
      <c r="A185">
        <v>1.9113973226489498E-83</v>
      </c>
      <c r="B185">
        <v>0.59907961624873296</v>
      </c>
      <c r="C185">
        <v>0.45600000000000002</v>
      </c>
      <c r="D185">
        <v>2.3E-2</v>
      </c>
      <c r="E185">
        <v>2.9594164746573697E-79</v>
      </c>
      <c r="F185">
        <v>1</v>
      </c>
      <c r="G185" t="s">
        <v>558</v>
      </c>
      <c r="H185" t="s">
        <v>559</v>
      </c>
      <c r="I185" t="s">
        <v>558</v>
      </c>
      <c r="J185" s="1" t="str">
        <f>HYPERLINK("https://zfin.org/ZDB-GENE-050522-137")</f>
        <v>https://zfin.org/ZDB-GENE-050522-137</v>
      </c>
      <c r="K185" t="s">
        <v>560</v>
      </c>
    </row>
    <row r="186" spans="1:11" x14ac:dyDescent="0.2">
      <c r="A186">
        <v>2.42077146652734E-83</v>
      </c>
      <c r="B186">
        <v>1.05404893743968</v>
      </c>
      <c r="C186">
        <v>0.84199999999999997</v>
      </c>
      <c r="D186">
        <v>0.127</v>
      </c>
      <c r="E186">
        <v>3.7480804616242802E-79</v>
      </c>
      <c r="F186">
        <v>1</v>
      </c>
      <c r="G186" t="s">
        <v>561</v>
      </c>
      <c r="H186" t="s">
        <v>562</v>
      </c>
      <c r="I186" t="s">
        <v>561</v>
      </c>
      <c r="J186" s="1" t="str">
        <f>HYPERLINK("https://zfin.org/ZDB-GENE-040718-169")</f>
        <v>https://zfin.org/ZDB-GENE-040718-169</v>
      </c>
      <c r="K186" t="s">
        <v>563</v>
      </c>
    </row>
    <row r="187" spans="1:11" x14ac:dyDescent="0.2">
      <c r="A187">
        <v>4.4055575317151999E-83</v>
      </c>
      <c r="B187">
        <v>0.78504690480406103</v>
      </c>
      <c r="C187">
        <v>0.52600000000000002</v>
      </c>
      <c r="D187">
        <v>3.5999999999999997E-2</v>
      </c>
      <c r="E187">
        <v>6.82112472635464E-79</v>
      </c>
      <c r="F187">
        <v>1</v>
      </c>
      <c r="G187" t="s">
        <v>564</v>
      </c>
      <c r="H187" t="s">
        <v>565</v>
      </c>
      <c r="I187" t="s">
        <v>564</v>
      </c>
      <c r="J187" s="1" t="str">
        <f>HYPERLINK("https://zfin.org/ZDB-GENE-070521-5")</f>
        <v>https://zfin.org/ZDB-GENE-070521-5</v>
      </c>
      <c r="K187" t="s">
        <v>566</v>
      </c>
    </row>
    <row r="188" spans="1:11" x14ac:dyDescent="0.2">
      <c r="A188">
        <v>9.1792738424090106E-83</v>
      </c>
      <c r="B188">
        <v>0.56761874489570097</v>
      </c>
      <c r="C188">
        <v>0.32500000000000001</v>
      </c>
      <c r="D188">
        <v>6.0000000000000001E-3</v>
      </c>
      <c r="E188">
        <v>1.4212269690201901E-78</v>
      </c>
      <c r="F188">
        <v>1</v>
      </c>
      <c r="G188" t="s">
        <v>567</v>
      </c>
      <c r="H188" t="s">
        <v>568</v>
      </c>
      <c r="I188" t="s">
        <v>567</v>
      </c>
      <c r="J188" s="1" t="str">
        <f>HYPERLINK("https://zfin.org/ZDB-GENE-061016-1")</f>
        <v>https://zfin.org/ZDB-GENE-061016-1</v>
      </c>
      <c r="K188" t="s">
        <v>569</v>
      </c>
    </row>
    <row r="189" spans="1:11" x14ac:dyDescent="0.2">
      <c r="A189">
        <v>1.16489467064678E-82</v>
      </c>
      <c r="B189">
        <v>1.1242563003405099</v>
      </c>
      <c r="C189">
        <v>0.51800000000000002</v>
      </c>
      <c r="D189">
        <v>3.5999999999999997E-2</v>
      </c>
      <c r="E189">
        <v>1.8036064185624101E-78</v>
      </c>
      <c r="F189">
        <v>1</v>
      </c>
      <c r="G189" t="s">
        <v>570</v>
      </c>
      <c r="H189" t="s">
        <v>571</v>
      </c>
      <c r="I189" t="s">
        <v>570</v>
      </c>
      <c r="J189" s="1" t="str">
        <f>HYPERLINK("https://zfin.org/ZDB-GENE-050417-212")</f>
        <v>https://zfin.org/ZDB-GENE-050417-212</v>
      </c>
      <c r="K189" t="s">
        <v>572</v>
      </c>
    </row>
    <row r="190" spans="1:11" x14ac:dyDescent="0.2">
      <c r="A190">
        <v>1.3425189847295401E-82</v>
      </c>
      <c r="B190">
        <v>0.86214451911493295</v>
      </c>
      <c r="C190">
        <v>0.46500000000000002</v>
      </c>
      <c r="D190">
        <v>2.5000000000000001E-2</v>
      </c>
      <c r="E190">
        <v>2.07862214405675E-78</v>
      </c>
      <c r="F190">
        <v>1</v>
      </c>
      <c r="G190" t="s">
        <v>573</v>
      </c>
      <c r="H190" t="s">
        <v>574</v>
      </c>
      <c r="I190" t="s">
        <v>573</v>
      </c>
      <c r="J190" s="1" t="str">
        <f>HYPERLINK("https://zfin.org/ZDB-GENE-080722-5")</f>
        <v>https://zfin.org/ZDB-GENE-080722-5</v>
      </c>
      <c r="K190" t="s">
        <v>575</v>
      </c>
    </row>
    <row r="191" spans="1:11" x14ac:dyDescent="0.2">
      <c r="A191">
        <v>2.8634205615305699E-82</v>
      </c>
      <c r="B191">
        <v>0.57245346606519099</v>
      </c>
      <c r="C191">
        <v>0.40400000000000003</v>
      </c>
      <c r="D191">
        <v>1.6E-2</v>
      </c>
      <c r="E191">
        <v>4.4334340554177704E-78</v>
      </c>
      <c r="F191">
        <v>1</v>
      </c>
      <c r="G191" t="s">
        <v>576</v>
      </c>
      <c r="H191" t="s">
        <v>577</v>
      </c>
      <c r="I191" t="s">
        <v>576</v>
      </c>
      <c r="J191" s="1" t="str">
        <f>HYPERLINK("https://zfin.org/ZDB-GENE-050601-1")</f>
        <v>https://zfin.org/ZDB-GENE-050601-1</v>
      </c>
      <c r="K191" t="s">
        <v>578</v>
      </c>
    </row>
    <row r="192" spans="1:11" x14ac:dyDescent="0.2">
      <c r="A192">
        <v>4.1257960276293901E-82</v>
      </c>
      <c r="B192">
        <v>0.66688011869480002</v>
      </c>
      <c r="C192">
        <v>0.47399999999999998</v>
      </c>
      <c r="D192">
        <v>2.5999999999999999E-2</v>
      </c>
      <c r="E192">
        <v>6.3879699895785896E-78</v>
      </c>
      <c r="F192">
        <v>1</v>
      </c>
      <c r="G192" t="s">
        <v>579</v>
      </c>
      <c r="H192" t="s">
        <v>580</v>
      </c>
      <c r="I192" t="s">
        <v>579</v>
      </c>
      <c r="J192" s="1" t="str">
        <f>HYPERLINK("https://zfin.org/ZDB-GENE-050419-235")</f>
        <v>https://zfin.org/ZDB-GENE-050419-235</v>
      </c>
      <c r="K192" t="s">
        <v>581</v>
      </c>
    </row>
    <row r="193" spans="1:11" x14ac:dyDescent="0.2">
      <c r="A193">
        <v>4.4901770747573302E-82</v>
      </c>
      <c r="B193">
        <v>0.50514544938797701</v>
      </c>
      <c r="C193">
        <v>0.316</v>
      </c>
      <c r="D193">
        <v>5.0000000000000001E-3</v>
      </c>
      <c r="E193">
        <v>6.9521411648467801E-78</v>
      </c>
      <c r="F193">
        <v>1</v>
      </c>
      <c r="G193" t="s">
        <v>582</v>
      </c>
      <c r="H193" t="s">
        <v>583</v>
      </c>
      <c r="I193" t="s">
        <v>582</v>
      </c>
      <c r="J193" s="1" t="str">
        <f>HYPERLINK("https://zfin.org/ZDB-GENE-050522-306")</f>
        <v>https://zfin.org/ZDB-GENE-050522-306</v>
      </c>
      <c r="K193" t="s">
        <v>584</v>
      </c>
    </row>
    <row r="194" spans="1:11" x14ac:dyDescent="0.2">
      <c r="A194">
        <v>7.3895728629733796E-82</v>
      </c>
      <c r="B194">
        <v>0.471152525900011</v>
      </c>
      <c r="C194">
        <v>0.307</v>
      </c>
      <c r="D194">
        <v>4.0000000000000001E-3</v>
      </c>
      <c r="E194">
        <v>1.1441275663741701E-77</v>
      </c>
      <c r="F194">
        <v>1</v>
      </c>
      <c r="G194" t="s">
        <v>585</v>
      </c>
      <c r="H194" t="s">
        <v>586</v>
      </c>
      <c r="I194" t="s">
        <v>585</v>
      </c>
      <c r="J194" s="1" t="str">
        <f>HYPERLINK("https://zfin.org/ZDB-GENE-100913-2")</f>
        <v>https://zfin.org/ZDB-GENE-100913-2</v>
      </c>
      <c r="K194" t="s">
        <v>587</v>
      </c>
    </row>
    <row r="195" spans="1:11" x14ac:dyDescent="0.2">
      <c r="A195">
        <v>1.1231687483359999E-81</v>
      </c>
      <c r="B195">
        <v>0.91852238301052602</v>
      </c>
      <c r="C195">
        <v>0.73699999999999999</v>
      </c>
      <c r="D195">
        <v>8.6999999999999994E-2</v>
      </c>
      <c r="E195">
        <v>1.7390021730486402E-77</v>
      </c>
      <c r="F195">
        <v>1</v>
      </c>
      <c r="G195" t="s">
        <v>588</v>
      </c>
      <c r="H195" t="s">
        <v>589</v>
      </c>
      <c r="I195" t="s">
        <v>588</v>
      </c>
      <c r="J195" s="1" t="str">
        <f>HYPERLINK("https://zfin.org/ZDB-GENE-040426-2936")</f>
        <v>https://zfin.org/ZDB-GENE-040426-2936</v>
      </c>
      <c r="K195" t="s">
        <v>590</v>
      </c>
    </row>
    <row r="196" spans="1:11" x14ac:dyDescent="0.2">
      <c r="A196">
        <v>2.9591452252318701E-81</v>
      </c>
      <c r="B196">
        <v>0.375885441963352</v>
      </c>
      <c r="C196">
        <v>0.29799999999999999</v>
      </c>
      <c r="D196">
        <v>4.0000000000000001E-3</v>
      </c>
      <c r="E196">
        <v>4.5816445522264999E-77</v>
      </c>
      <c r="F196">
        <v>1</v>
      </c>
      <c r="G196" t="s">
        <v>591</v>
      </c>
      <c r="H196" t="s">
        <v>592</v>
      </c>
      <c r="I196" t="s">
        <v>591</v>
      </c>
      <c r="J196" s="1" t="str">
        <f>HYPERLINK("https://zfin.org/ZDB-GENE-110411-185")</f>
        <v>https://zfin.org/ZDB-GENE-110411-185</v>
      </c>
      <c r="K196" t="s">
        <v>593</v>
      </c>
    </row>
    <row r="197" spans="1:11" x14ac:dyDescent="0.2">
      <c r="A197">
        <v>7.1509310832924299E-81</v>
      </c>
      <c r="B197">
        <v>0.91605638484662699</v>
      </c>
      <c r="C197">
        <v>0.80700000000000005</v>
      </c>
      <c r="D197">
        <v>0.109</v>
      </c>
      <c r="E197">
        <v>1.10717865962617E-76</v>
      </c>
      <c r="F197">
        <v>1</v>
      </c>
      <c r="G197" t="s">
        <v>594</v>
      </c>
      <c r="H197" t="s">
        <v>595</v>
      </c>
      <c r="I197" t="s">
        <v>594</v>
      </c>
      <c r="J197" s="1" t="str">
        <f>HYPERLINK("https://zfin.org/ZDB-GENE-081104-197")</f>
        <v>https://zfin.org/ZDB-GENE-081104-197</v>
      </c>
      <c r="K197" t="s">
        <v>596</v>
      </c>
    </row>
    <row r="198" spans="1:11" x14ac:dyDescent="0.2">
      <c r="A198">
        <v>7.4621827450602904E-81</v>
      </c>
      <c r="B198">
        <v>1.8581446370919401</v>
      </c>
      <c r="C198">
        <v>0.86799999999999999</v>
      </c>
      <c r="D198">
        <v>0.16200000000000001</v>
      </c>
      <c r="E198">
        <v>1.1553697544176799E-76</v>
      </c>
      <c r="F198">
        <v>1</v>
      </c>
      <c r="G198" t="s">
        <v>597</v>
      </c>
      <c r="H198" t="s">
        <v>598</v>
      </c>
      <c r="I198" t="s">
        <v>597</v>
      </c>
      <c r="J198" s="1" t="str">
        <f>HYPERLINK("https://zfin.org/ZDB-GENE-030131-7540")</f>
        <v>https://zfin.org/ZDB-GENE-030131-7540</v>
      </c>
      <c r="K198" t="s">
        <v>599</v>
      </c>
    </row>
    <row r="199" spans="1:11" x14ac:dyDescent="0.2">
      <c r="A199">
        <v>1.14426955708362E-80</v>
      </c>
      <c r="B199">
        <v>0.75456479152224898</v>
      </c>
      <c r="C199">
        <v>0.64</v>
      </c>
      <c r="D199">
        <v>5.8999999999999997E-2</v>
      </c>
      <c r="E199">
        <v>1.7716725552325601E-76</v>
      </c>
      <c r="F199">
        <v>1</v>
      </c>
      <c r="G199" t="s">
        <v>600</v>
      </c>
      <c r="H199" t="s">
        <v>601</v>
      </c>
      <c r="I199" t="s">
        <v>600</v>
      </c>
      <c r="J199" s="1" t="str">
        <f>HYPERLINK("https://zfin.org/ZDB-GENE-040718-92")</f>
        <v>https://zfin.org/ZDB-GENE-040718-92</v>
      </c>
      <c r="K199" t="s">
        <v>602</v>
      </c>
    </row>
    <row r="200" spans="1:11" x14ac:dyDescent="0.2">
      <c r="A200">
        <v>1.1466393871861601E-80</v>
      </c>
      <c r="B200">
        <v>0.473712386872781</v>
      </c>
      <c r="C200">
        <v>0.34200000000000003</v>
      </c>
      <c r="D200">
        <v>8.9999999999999993E-3</v>
      </c>
      <c r="E200">
        <v>1.7753417631803299E-76</v>
      </c>
      <c r="F200">
        <v>1</v>
      </c>
      <c r="G200" t="s">
        <v>603</v>
      </c>
      <c r="H200" t="s">
        <v>604</v>
      </c>
      <c r="I200" t="s">
        <v>603</v>
      </c>
      <c r="J200" s="1" t="str">
        <f>HYPERLINK("https://zfin.org/ZDB-GENE-050417-152")</f>
        <v>https://zfin.org/ZDB-GENE-050417-152</v>
      </c>
      <c r="K200" t="s">
        <v>605</v>
      </c>
    </row>
    <row r="201" spans="1:11" x14ac:dyDescent="0.2">
      <c r="A201">
        <v>2.56737136069222E-80</v>
      </c>
      <c r="B201">
        <v>0.85567751092439504</v>
      </c>
      <c r="C201">
        <v>0.70199999999999996</v>
      </c>
      <c r="D201">
        <v>0.08</v>
      </c>
      <c r="E201">
        <v>3.97506107775977E-76</v>
      </c>
      <c r="F201">
        <v>1</v>
      </c>
      <c r="G201" t="s">
        <v>606</v>
      </c>
      <c r="H201" t="s">
        <v>607</v>
      </c>
      <c r="I201" t="s">
        <v>606</v>
      </c>
      <c r="J201" s="1" t="str">
        <f>HYPERLINK("https://zfin.org/ZDB-GENE-040426-1682")</f>
        <v>https://zfin.org/ZDB-GENE-040426-1682</v>
      </c>
      <c r="K201" t="s">
        <v>608</v>
      </c>
    </row>
    <row r="202" spans="1:11" x14ac:dyDescent="0.2">
      <c r="A202">
        <v>9.0648462622264703E-80</v>
      </c>
      <c r="B202">
        <v>0.51569875094182704</v>
      </c>
      <c r="C202">
        <v>0.36799999999999999</v>
      </c>
      <c r="D202">
        <v>1.2E-2</v>
      </c>
      <c r="E202">
        <v>1.4035101467805301E-75</v>
      </c>
      <c r="F202">
        <v>1</v>
      </c>
      <c r="G202" t="s">
        <v>609</v>
      </c>
      <c r="H202" t="s">
        <v>610</v>
      </c>
      <c r="I202" t="s">
        <v>609</v>
      </c>
      <c r="J202" s="1" t="str">
        <f>HYPERLINK("https://zfin.org/ZDB-GENE-081104-375")</f>
        <v>https://zfin.org/ZDB-GENE-081104-375</v>
      </c>
      <c r="K202" t="s">
        <v>611</v>
      </c>
    </row>
    <row r="203" spans="1:11" x14ac:dyDescent="0.2">
      <c r="A203">
        <v>2.6842838661938499E-79</v>
      </c>
      <c r="B203">
        <v>0.42121638747393397</v>
      </c>
      <c r="C203">
        <v>0.33300000000000002</v>
      </c>
      <c r="D203">
        <v>8.0000000000000002E-3</v>
      </c>
      <c r="E203">
        <v>4.1560767100279402E-75</v>
      </c>
      <c r="F203">
        <v>1</v>
      </c>
      <c r="G203" t="s">
        <v>612</v>
      </c>
      <c r="H203" t="s">
        <v>613</v>
      </c>
      <c r="I203" t="s">
        <v>612</v>
      </c>
      <c r="J203" s="1" t="str">
        <f>HYPERLINK("https://zfin.org/ZDB-GENE-060721-2")</f>
        <v>https://zfin.org/ZDB-GENE-060721-2</v>
      </c>
      <c r="K203" t="s">
        <v>614</v>
      </c>
    </row>
    <row r="204" spans="1:11" x14ac:dyDescent="0.2">
      <c r="A204">
        <v>3.2424181882782801E-79</v>
      </c>
      <c r="B204">
        <v>1.01788121207397</v>
      </c>
      <c r="C204">
        <v>0.79800000000000004</v>
      </c>
      <c r="D204">
        <v>0.11700000000000001</v>
      </c>
      <c r="E204">
        <v>5.0202360809112597E-75</v>
      </c>
      <c r="F204">
        <v>1</v>
      </c>
      <c r="G204" t="s">
        <v>615</v>
      </c>
      <c r="H204" t="s">
        <v>616</v>
      </c>
      <c r="I204" t="s">
        <v>615</v>
      </c>
      <c r="J204" s="1" t="str">
        <f>HYPERLINK("https://zfin.org/ZDB-GENE-030131-3027")</f>
        <v>https://zfin.org/ZDB-GENE-030131-3027</v>
      </c>
      <c r="K204" t="s">
        <v>617</v>
      </c>
    </row>
    <row r="205" spans="1:11" x14ac:dyDescent="0.2">
      <c r="A205">
        <v>4.9392377729685199E-78</v>
      </c>
      <c r="B205">
        <v>0.43803002212463299</v>
      </c>
      <c r="C205">
        <v>0.316</v>
      </c>
      <c r="D205">
        <v>6.0000000000000001E-3</v>
      </c>
      <c r="E205">
        <v>7.6474218438871608E-74</v>
      </c>
      <c r="F205">
        <v>1</v>
      </c>
      <c r="G205" t="s">
        <v>618</v>
      </c>
      <c r="H205" t="s">
        <v>619</v>
      </c>
      <c r="I205" t="s">
        <v>618</v>
      </c>
      <c r="J205" s="1" t="str">
        <f>HYPERLINK("https://zfin.org/ZDB-GENE-030131-8003")</f>
        <v>https://zfin.org/ZDB-GENE-030131-8003</v>
      </c>
      <c r="K205" t="s">
        <v>620</v>
      </c>
    </row>
    <row r="206" spans="1:11" x14ac:dyDescent="0.2">
      <c r="A206">
        <v>2.3782562573889E-76</v>
      </c>
      <c r="B206">
        <v>0.534449688446472</v>
      </c>
      <c r="C206">
        <v>0.41199999999999998</v>
      </c>
      <c r="D206">
        <v>0.02</v>
      </c>
      <c r="E206">
        <v>3.6822541633152401E-72</v>
      </c>
      <c r="F206">
        <v>1</v>
      </c>
      <c r="G206" t="s">
        <v>621</v>
      </c>
      <c r="H206" t="s">
        <v>622</v>
      </c>
      <c r="I206" t="s">
        <v>621</v>
      </c>
      <c r="J206" s="1" t="str">
        <f>HYPERLINK("https://zfin.org/ZDB-GENE-100922-241")</f>
        <v>https://zfin.org/ZDB-GENE-100922-241</v>
      </c>
      <c r="K206" t="s">
        <v>623</v>
      </c>
    </row>
    <row r="207" spans="1:11" x14ac:dyDescent="0.2">
      <c r="A207">
        <v>2.61325499956988E-76</v>
      </c>
      <c r="B207">
        <v>0.74852589947093795</v>
      </c>
      <c r="C207">
        <v>0.60499999999999998</v>
      </c>
      <c r="D207">
        <v>5.8000000000000003E-2</v>
      </c>
      <c r="E207">
        <v>4.0461027158340499E-72</v>
      </c>
      <c r="F207">
        <v>1</v>
      </c>
      <c r="G207" t="s">
        <v>624</v>
      </c>
      <c r="H207" t="s">
        <v>625</v>
      </c>
      <c r="I207" t="s">
        <v>624</v>
      </c>
      <c r="J207" s="1" t="str">
        <f>HYPERLINK("https://zfin.org/ZDB-GENE-040718-223")</f>
        <v>https://zfin.org/ZDB-GENE-040718-223</v>
      </c>
      <c r="K207" t="s">
        <v>626</v>
      </c>
    </row>
    <row r="208" spans="1:11" x14ac:dyDescent="0.2">
      <c r="A208">
        <v>2.6854923085203799E-76</v>
      </c>
      <c r="B208">
        <v>0.88038164953047604</v>
      </c>
      <c r="C208">
        <v>0.71099999999999997</v>
      </c>
      <c r="D208">
        <v>8.6999999999999994E-2</v>
      </c>
      <c r="E208">
        <v>4.1579477412821101E-72</v>
      </c>
      <c r="F208">
        <v>1</v>
      </c>
      <c r="G208" t="s">
        <v>627</v>
      </c>
      <c r="H208" t="s">
        <v>628</v>
      </c>
      <c r="I208" t="s">
        <v>627</v>
      </c>
      <c r="J208" s="1" t="str">
        <f>HYPERLINK("https://zfin.org/ZDB-GENE-040801-178")</f>
        <v>https://zfin.org/ZDB-GENE-040801-178</v>
      </c>
      <c r="K208" t="s">
        <v>629</v>
      </c>
    </row>
    <row r="209" spans="1:11" x14ac:dyDescent="0.2">
      <c r="A209">
        <v>3.0112881463735602E-76</v>
      </c>
      <c r="B209">
        <v>0.66764033441090598</v>
      </c>
      <c r="C209">
        <v>0.56100000000000005</v>
      </c>
      <c r="D209">
        <v>4.8000000000000001E-2</v>
      </c>
      <c r="E209">
        <v>4.6623774370301904E-72</v>
      </c>
      <c r="F209">
        <v>1</v>
      </c>
      <c r="G209" t="s">
        <v>630</v>
      </c>
      <c r="H209" t="s">
        <v>631</v>
      </c>
      <c r="I209" t="s">
        <v>630</v>
      </c>
      <c r="J209" s="1" t="str">
        <f>HYPERLINK("https://zfin.org/ZDB-GENE-041010-104")</f>
        <v>https://zfin.org/ZDB-GENE-041010-104</v>
      </c>
      <c r="K209" t="s">
        <v>632</v>
      </c>
    </row>
    <row r="210" spans="1:11" x14ac:dyDescent="0.2">
      <c r="A210">
        <v>5.2021501706808899E-76</v>
      </c>
      <c r="B210">
        <v>0.725689077992698</v>
      </c>
      <c r="C210">
        <v>0.56999999999999995</v>
      </c>
      <c r="D210">
        <v>0.05</v>
      </c>
      <c r="E210">
        <v>8.0544891092652203E-72</v>
      </c>
      <c r="F210">
        <v>1</v>
      </c>
      <c r="G210" t="s">
        <v>633</v>
      </c>
      <c r="H210" t="s">
        <v>634</v>
      </c>
      <c r="I210" t="s">
        <v>633</v>
      </c>
      <c r="J210" s="1" t="str">
        <f>HYPERLINK("https://zfin.org/ZDB-GENE-081104-219")</f>
        <v>https://zfin.org/ZDB-GENE-081104-219</v>
      </c>
      <c r="K210" t="s">
        <v>635</v>
      </c>
    </row>
    <row r="211" spans="1:11" x14ac:dyDescent="0.2">
      <c r="A211">
        <v>1.2656463366984901E-75</v>
      </c>
      <c r="B211">
        <v>0.59284451322758702</v>
      </c>
      <c r="C211">
        <v>0.45600000000000002</v>
      </c>
      <c r="D211">
        <v>2.8000000000000001E-2</v>
      </c>
      <c r="E211">
        <v>1.9596002231102598E-71</v>
      </c>
      <c r="F211">
        <v>1</v>
      </c>
      <c r="G211" t="s">
        <v>636</v>
      </c>
      <c r="H211" t="s">
        <v>637</v>
      </c>
      <c r="I211" t="s">
        <v>636</v>
      </c>
      <c r="J211" s="1" t="str">
        <f>HYPERLINK("https://zfin.org/ZDB-GENE-050417-298")</f>
        <v>https://zfin.org/ZDB-GENE-050417-298</v>
      </c>
      <c r="K211" t="s">
        <v>638</v>
      </c>
    </row>
    <row r="212" spans="1:11" x14ac:dyDescent="0.2">
      <c r="A212">
        <v>1.32608493006187E-75</v>
      </c>
      <c r="B212">
        <v>0.48468081195094098</v>
      </c>
      <c r="C212">
        <v>0.36</v>
      </c>
      <c r="D212">
        <v>1.2999999999999999E-2</v>
      </c>
      <c r="E212">
        <v>2.05317729721479E-71</v>
      </c>
      <c r="F212">
        <v>1</v>
      </c>
      <c r="G212" t="s">
        <v>639</v>
      </c>
      <c r="H212" t="s">
        <v>640</v>
      </c>
      <c r="I212" t="s">
        <v>639</v>
      </c>
      <c r="J212" s="1" t="str">
        <f>HYPERLINK("https://zfin.org/ZDB-GENE-060503-508")</f>
        <v>https://zfin.org/ZDB-GENE-060503-508</v>
      </c>
      <c r="K212" t="s">
        <v>641</v>
      </c>
    </row>
    <row r="213" spans="1:11" x14ac:dyDescent="0.2">
      <c r="A213">
        <v>1.6604868884263801E-75</v>
      </c>
      <c r="B213">
        <v>0.441081677107799</v>
      </c>
      <c r="C213">
        <v>0.26300000000000001</v>
      </c>
      <c r="D213">
        <v>2E-3</v>
      </c>
      <c r="E213">
        <v>2.5709318493505702E-71</v>
      </c>
      <c r="F213">
        <v>1</v>
      </c>
      <c r="G213" t="s">
        <v>642</v>
      </c>
      <c r="H213" t="s">
        <v>643</v>
      </c>
      <c r="I213" t="s">
        <v>642</v>
      </c>
      <c r="J213" s="1" t="str">
        <f>HYPERLINK("https://zfin.org/ZDB-GENE-081104-370")</f>
        <v>https://zfin.org/ZDB-GENE-081104-370</v>
      </c>
      <c r="K213" t="s">
        <v>644</v>
      </c>
    </row>
    <row r="214" spans="1:11" x14ac:dyDescent="0.2">
      <c r="A214">
        <v>2.8705673266756498E-75</v>
      </c>
      <c r="B214">
        <v>0.38736591691741301</v>
      </c>
      <c r="C214">
        <v>0.254</v>
      </c>
      <c r="D214">
        <v>1E-3</v>
      </c>
      <c r="E214">
        <v>4.4444993918919097E-71</v>
      </c>
      <c r="F214">
        <v>1</v>
      </c>
      <c r="G214" t="s">
        <v>645</v>
      </c>
      <c r="H214" t="s">
        <v>646</v>
      </c>
      <c r="I214" t="s">
        <v>645</v>
      </c>
      <c r="J214" s="1" t="str">
        <f>HYPERLINK("https://zfin.org/ZDB-GENE-030131-5980")</f>
        <v>https://zfin.org/ZDB-GENE-030131-5980</v>
      </c>
      <c r="K214" t="s">
        <v>647</v>
      </c>
    </row>
    <row r="215" spans="1:11" x14ac:dyDescent="0.2">
      <c r="A215">
        <v>4.04835294268228E-75</v>
      </c>
      <c r="B215">
        <v>0.49085024305699099</v>
      </c>
      <c r="C215">
        <v>0.38600000000000001</v>
      </c>
      <c r="D215">
        <v>1.6E-2</v>
      </c>
      <c r="E215">
        <v>6.2680648611549804E-71</v>
      </c>
      <c r="F215">
        <v>1</v>
      </c>
      <c r="G215" t="s">
        <v>648</v>
      </c>
      <c r="H215" t="s">
        <v>649</v>
      </c>
      <c r="I215" t="s">
        <v>648</v>
      </c>
      <c r="J215" s="1" t="str">
        <f>HYPERLINK("https://zfin.org/ZDB-GENE-110421-1")</f>
        <v>https://zfin.org/ZDB-GENE-110421-1</v>
      </c>
      <c r="K215" t="s">
        <v>650</v>
      </c>
    </row>
    <row r="216" spans="1:11" x14ac:dyDescent="0.2">
      <c r="A216">
        <v>4.2804759821613E-75</v>
      </c>
      <c r="B216">
        <v>0.91840973509205703</v>
      </c>
      <c r="C216">
        <v>0.29799999999999999</v>
      </c>
      <c r="D216">
        <v>6.0000000000000001E-3</v>
      </c>
      <c r="E216">
        <v>6.6274609631803398E-71</v>
      </c>
      <c r="F216">
        <v>1</v>
      </c>
      <c r="G216" t="s">
        <v>651</v>
      </c>
      <c r="H216" t="s">
        <v>652</v>
      </c>
      <c r="I216" t="s">
        <v>651</v>
      </c>
      <c r="J216" s="1" t="str">
        <f>HYPERLINK("https://zfin.org/ZDB-GENE-060526-280")</f>
        <v>https://zfin.org/ZDB-GENE-060526-280</v>
      </c>
      <c r="K216" t="s">
        <v>653</v>
      </c>
    </row>
    <row r="217" spans="1:11" x14ac:dyDescent="0.2">
      <c r="A217">
        <v>7.06084354874844E-75</v>
      </c>
      <c r="B217">
        <v>0.46543506429826897</v>
      </c>
      <c r="C217">
        <v>0.32500000000000001</v>
      </c>
      <c r="D217">
        <v>8.9999999999999993E-3</v>
      </c>
      <c r="E217">
        <v>1.09323040665272E-70</v>
      </c>
      <c r="F217">
        <v>1</v>
      </c>
      <c r="G217" t="s">
        <v>654</v>
      </c>
      <c r="H217" t="s">
        <v>655</v>
      </c>
      <c r="I217" t="s">
        <v>654</v>
      </c>
      <c r="J217" s="1" t="str">
        <f>HYPERLINK("https://zfin.org/ZDB-GENE-060825-230")</f>
        <v>https://zfin.org/ZDB-GENE-060825-230</v>
      </c>
      <c r="K217" t="s">
        <v>656</v>
      </c>
    </row>
    <row r="218" spans="1:11" x14ac:dyDescent="0.2">
      <c r="A218">
        <v>1.47244010348032E-73</v>
      </c>
      <c r="B218">
        <v>0.65457905102872704</v>
      </c>
      <c r="C218">
        <v>0.623</v>
      </c>
      <c r="D218">
        <v>6.4000000000000001E-2</v>
      </c>
      <c r="E218">
        <v>2.2797790122185799E-69</v>
      </c>
      <c r="F218">
        <v>1</v>
      </c>
      <c r="G218" t="s">
        <v>657</v>
      </c>
      <c r="H218" t="s">
        <v>658</v>
      </c>
      <c r="I218" t="s">
        <v>657</v>
      </c>
      <c r="J218" s="1" t="str">
        <f>HYPERLINK("https://zfin.org/ZDB-GENE-131121-486")</f>
        <v>https://zfin.org/ZDB-GENE-131121-486</v>
      </c>
      <c r="K218" t="s">
        <v>659</v>
      </c>
    </row>
    <row r="219" spans="1:11" x14ac:dyDescent="0.2">
      <c r="A219">
        <v>2.2319606790405799E-73</v>
      </c>
      <c r="B219">
        <v>0.50607388346931703</v>
      </c>
      <c r="C219">
        <v>0.27200000000000002</v>
      </c>
      <c r="D219">
        <v>4.0000000000000001E-3</v>
      </c>
      <c r="E219">
        <v>3.4557447193585298E-69</v>
      </c>
      <c r="F219">
        <v>1</v>
      </c>
      <c r="G219" t="s">
        <v>660</v>
      </c>
      <c r="H219" t="s">
        <v>661</v>
      </c>
      <c r="I219" t="s">
        <v>660</v>
      </c>
      <c r="J219" s="1" t="str">
        <f>HYPERLINK("https://zfin.org/ZDB-GENE-030131-6098")</f>
        <v>https://zfin.org/ZDB-GENE-030131-6098</v>
      </c>
      <c r="K219" t="s">
        <v>662</v>
      </c>
    </row>
    <row r="220" spans="1:11" x14ac:dyDescent="0.2">
      <c r="A220">
        <v>2.5527400052463201E-73</v>
      </c>
      <c r="B220">
        <v>0.48509792300145499</v>
      </c>
      <c r="C220">
        <v>0.34200000000000003</v>
      </c>
      <c r="D220">
        <v>1.0999999999999999E-2</v>
      </c>
      <c r="E220">
        <v>3.9524073501228802E-69</v>
      </c>
      <c r="F220">
        <v>1</v>
      </c>
      <c r="G220" t="s">
        <v>663</v>
      </c>
      <c r="H220" t="s">
        <v>664</v>
      </c>
      <c r="I220" t="s">
        <v>663</v>
      </c>
      <c r="J220" s="1" t="str">
        <f>HYPERLINK("https://zfin.org/ZDB-GENE-100316-7")</f>
        <v>https://zfin.org/ZDB-GENE-100316-7</v>
      </c>
      <c r="K220" t="s">
        <v>665</v>
      </c>
    </row>
    <row r="221" spans="1:11" x14ac:dyDescent="0.2">
      <c r="A221">
        <v>5.9990878487480805E-73</v>
      </c>
      <c r="B221">
        <v>0.54654016610108003</v>
      </c>
      <c r="C221">
        <v>0.40400000000000003</v>
      </c>
      <c r="D221">
        <v>2.1000000000000001E-2</v>
      </c>
      <c r="E221">
        <v>9.2883877162166598E-69</v>
      </c>
      <c r="F221">
        <v>1</v>
      </c>
      <c r="G221" t="s">
        <v>666</v>
      </c>
      <c r="H221" t="s">
        <v>667</v>
      </c>
      <c r="I221" t="s">
        <v>666</v>
      </c>
      <c r="J221" s="1" t="str">
        <f>HYPERLINK("https://zfin.org/ZDB-GENE-040704-43")</f>
        <v>https://zfin.org/ZDB-GENE-040704-43</v>
      </c>
      <c r="K221" t="s">
        <v>668</v>
      </c>
    </row>
    <row r="222" spans="1:11" x14ac:dyDescent="0.2">
      <c r="A222">
        <v>4.9690678564973804E-72</v>
      </c>
      <c r="B222">
        <v>1.10703810941792</v>
      </c>
      <c r="C222">
        <v>0.88600000000000001</v>
      </c>
      <c r="D222">
        <v>0.17899999999999999</v>
      </c>
      <c r="E222">
        <v>7.6936077622148898E-68</v>
      </c>
      <c r="F222">
        <v>1</v>
      </c>
      <c r="G222" t="s">
        <v>669</v>
      </c>
      <c r="H222" t="s">
        <v>670</v>
      </c>
      <c r="I222" t="s">
        <v>669</v>
      </c>
      <c r="J222" s="1" t="str">
        <f>HYPERLINK("https://zfin.org/ZDB-GENE-020419-11")</f>
        <v>https://zfin.org/ZDB-GENE-020419-11</v>
      </c>
      <c r="K222" t="s">
        <v>671</v>
      </c>
    </row>
    <row r="223" spans="1:11" x14ac:dyDescent="0.2">
      <c r="A223">
        <v>8.2910520470505497E-72</v>
      </c>
      <c r="B223">
        <v>1.5121749130067701</v>
      </c>
      <c r="C223">
        <v>0.98199999999999998</v>
      </c>
      <c r="D223">
        <v>0.38500000000000001</v>
      </c>
      <c r="E223">
        <v>1.28370358844484E-67</v>
      </c>
      <c r="F223">
        <v>1</v>
      </c>
      <c r="G223" t="s">
        <v>672</v>
      </c>
      <c r="H223" t="s">
        <v>673</v>
      </c>
      <c r="I223" t="s">
        <v>672</v>
      </c>
      <c r="J223" s="1" t="str">
        <f>HYPERLINK("https://zfin.org/ZDB-GENE-040426-1986")</f>
        <v>https://zfin.org/ZDB-GENE-040426-1986</v>
      </c>
      <c r="K223" t="s">
        <v>674</v>
      </c>
    </row>
    <row r="224" spans="1:11" x14ac:dyDescent="0.2">
      <c r="A224">
        <v>1.1289179390823901E-71</v>
      </c>
      <c r="B224">
        <v>0.50915616521755602</v>
      </c>
      <c r="C224">
        <v>0.36799999999999999</v>
      </c>
      <c r="D224">
        <v>1.6E-2</v>
      </c>
      <c r="E224">
        <v>1.7479036450812601E-67</v>
      </c>
      <c r="F224">
        <v>1</v>
      </c>
      <c r="G224" t="s">
        <v>675</v>
      </c>
      <c r="H224" t="s">
        <v>676</v>
      </c>
      <c r="I224" t="s">
        <v>675</v>
      </c>
      <c r="J224" s="1" t="str">
        <f>HYPERLINK("https://zfin.org/ZDB-GENE-120709-73")</f>
        <v>https://zfin.org/ZDB-GENE-120709-73</v>
      </c>
      <c r="K224" t="s">
        <v>677</v>
      </c>
    </row>
    <row r="225" spans="1:11" x14ac:dyDescent="0.2">
      <c r="A225">
        <v>1.1731429988859601E-71</v>
      </c>
      <c r="B225">
        <v>0.56527489369269501</v>
      </c>
      <c r="C225">
        <v>0.307</v>
      </c>
      <c r="D225">
        <v>8.0000000000000002E-3</v>
      </c>
      <c r="E225">
        <v>1.8163773051751399E-67</v>
      </c>
      <c r="F225">
        <v>1</v>
      </c>
      <c r="G225" t="s">
        <v>678</v>
      </c>
      <c r="H225" t="s">
        <v>679</v>
      </c>
      <c r="I225" t="s">
        <v>678</v>
      </c>
      <c r="J225" s="1" t="str">
        <f>HYPERLINK("https://zfin.org/ZDB-GENE-040426-1962")</f>
        <v>https://zfin.org/ZDB-GENE-040426-1962</v>
      </c>
      <c r="K225" t="s">
        <v>680</v>
      </c>
    </row>
    <row r="226" spans="1:11" x14ac:dyDescent="0.2">
      <c r="A226">
        <v>1.4941036673288699E-71</v>
      </c>
      <c r="B226">
        <v>0.40692743884546301</v>
      </c>
      <c r="C226">
        <v>0.28100000000000003</v>
      </c>
      <c r="D226">
        <v>5.0000000000000001E-3</v>
      </c>
      <c r="E226">
        <v>2.3133207081252901E-67</v>
      </c>
      <c r="F226">
        <v>1</v>
      </c>
      <c r="G226" t="s">
        <v>681</v>
      </c>
      <c r="H226" t="s">
        <v>682</v>
      </c>
      <c r="I226" t="s">
        <v>681</v>
      </c>
      <c r="J226" s="1" t="str">
        <f>HYPERLINK("https://zfin.org/ZDB-GENE-080327-7")</f>
        <v>https://zfin.org/ZDB-GENE-080327-7</v>
      </c>
      <c r="K226" t="s">
        <v>683</v>
      </c>
    </row>
    <row r="227" spans="1:11" x14ac:dyDescent="0.2">
      <c r="A227">
        <v>2.4035333271719702E-71</v>
      </c>
      <c r="B227">
        <v>0.39065777646287703</v>
      </c>
      <c r="C227">
        <v>0.27200000000000002</v>
      </c>
      <c r="D227">
        <v>4.0000000000000001E-3</v>
      </c>
      <c r="E227">
        <v>3.7213906504603598E-67</v>
      </c>
      <c r="F227">
        <v>1</v>
      </c>
      <c r="G227" t="s">
        <v>684</v>
      </c>
      <c r="H227" t="s">
        <v>685</v>
      </c>
      <c r="I227" t="s">
        <v>684</v>
      </c>
      <c r="J227" s="1" t="str">
        <f>HYPERLINK("https://zfin.org/ZDB-GENE-040113-1")</f>
        <v>https://zfin.org/ZDB-GENE-040113-1</v>
      </c>
      <c r="K227" t="s">
        <v>686</v>
      </c>
    </row>
    <row r="228" spans="1:11" x14ac:dyDescent="0.2">
      <c r="A228">
        <v>4.2499363787908201E-71</v>
      </c>
      <c r="B228">
        <v>0.743984867474342</v>
      </c>
      <c r="C228">
        <v>0.51800000000000002</v>
      </c>
      <c r="D228">
        <v>4.2000000000000003E-2</v>
      </c>
      <c r="E228">
        <v>6.5801764952818198E-67</v>
      </c>
      <c r="F228">
        <v>1</v>
      </c>
      <c r="G228" t="s">
        <v>687</v>
      </c>
      <c r="H228" t="s">
        <v>688</v>
      </c>
      <c r="I228" t="s">
        <v>687</v>
      </c>
      <c r="J228" s="1" t="str">
        <f>HYPERLINK("https://zfin.org/ZDB-GENE-041008-14")</f>
        <v>https://zfin.org/ZDB-GENE-041008-14</v>
      </c>
      <c r="K228" t="s">
        <v>689</v>
      </c>
    </row>
    <row r="229" spans="1:11" x14ac:dyDescent="0.2">
      <c r="A229">
        <v>5.1254468810886301E-71</v>
      </c>
      <c r="B229">
        <v>0.93627775354840104</v>
      </c>
      <c r="C229">
        <v>0.67500000000000004</v>
      </c>
      <c r="D229">
        <v>8.7999999999999995E-2</v>
      </c>
      <c r="E229">
        <v>7.9357294059895306E-67</v>
      </c>
      <c r="F229">
        <v>1</v>
      </c>
      <c r="G229" t="s">
        <v>690</v>
      </c>
      <c r="H229" t="s">
        <v>691</v>
      </c>
      <c r="I229" t="s">
        <v>690</v>
      </c>
      <c r="J229" s="1" t="str">
        <f>HYPERLINK("https://zfin.org/ZDB-GENE-040426-2733")</f>
        <v>https://zfin.org/ZDB-GENE-040426-2733</v>
      </c>
      <c r="K229" t="s">
        <v>692</v>
      </c>
    </row>
    <row r="230" spans="1:11" x14ac:dyDescent="0.2">
      <c r="A230">
        <v>8.4063133509123492E-71</v>
      </c>
      <c r="B230">
        <v>0.38264767426240898</v>
      </c>
      <c r="C230">
        <v>0.29799999999999999</v>
      </c>
      <c r="D230">
        <v>7.0000000000000001E-3</v>
      </c>
      <c r="E230">
        <v>1.3015494961217599E-66</v>
      </c>
      <c r="F230">
        <v>1</v>
      </c>
      <c r="G230" t="s">
        <v>693</v>
      </c>
      <c r="H230" t="s">
        <v>694</v>
      </c>
      <c r="I230" t="s">
        <v>693</v>
      </c>
      <c r="J230" s="1" t="str">
        <f>HYPERLINK("https://zfin.org/ZDB-GENE-050522-70")</f>
        <v>https://zfin.org/ZDB-GENE-050522-70</v>
      </c>
      <c r="K230" t="s">
        <v>695</v>
      </c>
    </row>
    <row r="231" spans="1:11" x14ac:dyDescent="0.2">
      <c r="A231">
        <v>1.19209860702368E-70</v>
      </c>
      <c r="B231">
        <v>0.53565577975569401</v>
      </c>
      <c r="C231">
        <v>0.38600000000000001</v>
      </c>
      <c r="D231">
        <v>1.9E-2</v>
      </c>
      <c r="E231">
        <v>1.8457262732547701E-66</v>
      </c>
      <c r="F231">
        <v>1</v>
      </c>
      <c r="G231" t="s">
        <v>696</v>
      </c>
      <c r="H231" t="s">
        <v>697</v>
      </c>
      <c r="I231" t="s">
        <v>696</v>
      </c>
      <c r="J231" s="1" t="str">
        <f>HYPERLINK("https://zfin.org/ZDB-GENE-110614-1")</f>
        <v>https://zfin.org/ZDB-GENE-110614-1</v>
      </c>
      <c r="K231" t="s">
        <v>698</v>
      </c>
    </row>
    <row r="232" spans="1:11" x14ac:dyDescent="0.2">
      <c r="A232">
        <v>1.43253339629059E-70</v>
      </c>
      <c r="B232">
        <v>0.79287071430976697</v>
      </c>
      <c r="C232">
        <v>0.64</v>
      </c>
      <c r="D232">
        <v>7.4999999999999997E-2</v>
      </c>
      <c r="E232">
        <v>2.2179914574767199E-66</v>
      </c>
      <c r="F232">
        <v>1</v>
      </c>
      <c r="G232" t="s">
        <v>699</v>
      </c>
      <c r="H232" t="s">
        <v>700</v>
      </c>
      <c r="I232" t="s">
        <v>699</v>
      </c>
      <c r="J232" s="1" t="str">
        <f>HYPERLINK("https://zfin.org/ZDB-GENE-110411-40")</f>
        <v>https://zfin.org/ZDB-GENE-110411-40</v>
      </c>
      <c r="K232" t="s">
        <v>701</v>
      </c>
    </row>
    <row r="233" spans="1:11" x14ac:dyDescent="0.2">
      <c r="A233">
        <v>2.7230313924969298E-69</v>
      </c>
      <c r="B233">
        <v>0.45545236770721498</v>
      </c>
      <c r="C233">
        <v>0.33300000000000002</v>
      </c>
      <c r="D233">
        <v>1.2E-2</v>
      </c>
      <c r="E233">
        <v>4.2160695050029997E-65</v>
      </c>
      <c r="F233">
        <v>1</v>
      </c>
      <c r="G233" t="s">
        <v>702</v>
      </c>
      <c r="H233" t="s">
        <v>703</v>
      </c>
      <c r="I233" t="s">
        <v>702</v>
      </c>
      <c r="J233" s="1" t="str">
        <f>HYPERLINK("https://zfin.org/ZDB-GENE-061103-349")</f>
        <v>https://zfin.org/ZDB-GENE-061103-349</v>
      </c>
      <c r="K233" t="s">
        <v>704</v>
      </c>
    </row>
    <row r="234" spans="1:11" x14ac:dyDescent="0.2">
      <c r="A234">
        <v>2.8125509300832401E-69</v>
      </c>
      <c r="B234">
        <v>0.39975506026635899</v>
      </c>
      <c r="C234">
        <v>0.28100000000000003</v>
      </c>
      <c r="D234">
        <v>6.0000000000000001E-3</v>
      </c>
      <c r="E234">
        <v>4.3546726050478799E-65</v>
      </c>
      <c r="F234">
        <v>1</v>
      </c>
      <c r="G234" t="s">
        <v>705</v>
      </c>
      <c r="H234" t="s">
        <v>706</v>
      </c>
      <c r="I234" t="s">
        <v>705</v>
      </c>
      <c r="J234" s="1" t="str">
        <f>HYPERLINK("https://zfin.org/ZDB-GENE-041026-4")</f>
        <v>https://zfin.org/ZDB-GENE-041026-4</v>
      </c>
      <c r="K234" t="s">
        <v>707</v>
      </c>
    </row>
    <row r="235" spans="1:11" x14ac:dyDescent="0.2">
      <c r="A235">
        <v>1.06856146144675E-68</v>
      </c>
      <c r="B235">
        <v>3.43935536264603</v>
      </c>
      <c r="C235">
        <v>1</v>
      </c>
      <c r="D235">
        <v>1</v>
      </c>
      <c r="E235">
        <v>1.654453710758E-64</v>
      </c>
      <c r="F235">
        <v>1</v>
      </c>
      <c r="G235" t="s">
        <v>708</v>
      </c>
      <c r="H235" t="s">
        <v>709</v>
      </c>
      <c r="I235" t="s">
        <v>708</v>
      </c>
      <c r="J235" s="1" t="str">
        <f>HYPERLINK("https://zfin.org/ZDB-GENE-030805-3")</f>
        <v>https://zfin.org/ZDB-GENE-030805-3</v>
      </c>
      <c r="K235" t="s">
        <v>710</v>
      </c>
    </row>
    <row r="236" spans="1:11" x14ac:dyDescent="0.2">
      <c r="A236">
        <v>1.3373839999693601E-68</v>
      </c>
      <c r="B236">
        <v>0.48305900378932098</v>
      </c>
      <c r="C236">
        <v>0.38600000000000001</v>
      </c>
      <c r="D236">
        <v>0.02</v>
      </c>
      <c r="E236">
        <v>2.0706716471525501E-64</v>
      </c>
      <c r="F236">
        <v>1</v>
      </c>
      <c r="G236" t="s">
        <v>711</v>
      </c>
      <c r="H236" t="s">
        <v>712</v>
      </c>
      <c r="I236" t="s">
        <v>711</v>
      </c>
      <c r="J236" s="1" t="str">
        <f>HYPERLINK("https://zfin.org/ZDB-GENE-040718-253")</f>
        <v>https://zfin.org/ZDB-GENE-040718-253</v>
      </c>
      <c r="K236" t="s">
        <v>713</v>
      </c>
    </row>
    <row r="237" spans="1:11" x14ac:dyDescent="0.2">
      <c r="A237">
        <v>2.3006125808403299E-68</v>
      </c>
      <c r="B237">
        <v>0.459461198478188</v>
      </c>
      <c r="C237">
        <v>0.28899999999999998</v>
      </c>
      <c r="D237">
        <v>7.0000000000000001E-3</v>
      </c>
      <c r="E237">
        <v>3.5620384589150799E-64</v>
      </c>
      <c r="F237">
        <v>1</v>
      </c>
      <c r="G237" t="s">
        <v>714</v>
      </c>
      <c r="H237" t="s">
        <v>715</v>
      </c>
      <c r="I237" t="s">
        <v>714</v>
      </c>
      <c r="J237" s="1" t="str">
        <f>HYPERLINK("https://zfin.org/ZDB-GENE-050706-119")</f>
        <v>https://zfin.org/ZDB-GENE-050706-119</v>
      </c>
      <c r="K237" t="s">
        <v>716</v>
      </c>
    </row>
    <row r="238" spans="1:11" x14ac:dyDescent="0.2">
      <c r="A238">
        <v>2.3319653948337899E-68</v>
      </c>
      <c r="B238">
        <v>0.43875688410817698</v>
      </c>
      <c r="C238">
        <v>0.28899999999999998</v>
      </c>
      <c r="D238">
        <v>7.0000000000000001E-3</v>
      </c>
      <c r="E238">
        <v>3.61058202082116E-64</v>
      </c>
      <c r="F238">
        <v>1</v>
      </c>
      <c r="G238" t="s">
        <v>717</v>
      </c>
      <c r="H238" t="s">
        <v>718</v>
      </c>
      <c r="I238" t="s">
        <v>717</v>
      </c>
      <c r="J238" s="1" t="str">
        <f>HYPERLINK("https://zfin.org/ZDB-GENE-131127-254")</f>
        <v>https://zfin.org/ZDB-GENE-131127-254</v>
      </c>
      <c r="K238" t="s">
        <v>719</v>
      </c>
    </row>
    <row r="239" spans="1:11" x14ac:dyDescent="0.2">
      <c r="A239">
        <v>2.7886061406138702E-68</v>
      </c>
      <c r="B239">
        <v>0.38373440689553201</v>
      </c>
      <c r="C239">
        <v>0.26300000000000001</v>
      </c>
      <c r="D239">
        <v>4.0000000000000001E-3</v>
      </c>
      <c r="E239">
        <v>4.3175988875124602E-64</v>
      </c>
      <c r="F239">
        <v>1</v>
      </c>
      <c r="G239" t="s">
        <v>720</v>
      </c>
      <c r="H239" t="s">
        <v>721</v>
      </c>
      <c r="I239" t="s">
        <v>720</v>
      </c>
      <c r="J239" s="1" t="str">
        <f>HYPERLINK("https://zfin.org/")</f>
        <v>https://zfin.org/</v>
      </c>
    </row>
    <row r="240" spans="1:11" x14ac:dyDescent="0.2">
      <c r="A240">
        <v>3.4145884119622901E-68</v>
      </c>
      <c r="B240">
        <v>2.55588498976228</v>
      </c>
      <c r="C240">
        <v>1</v>
      </c>
      <c r="D240">
        <v>0.85299999999999998</v>
      </c>
      <c r="E240">
        <v>5.2868072382412203E-64</v>
      </c>
      <c r="F240">
        <v>1</v>
      </c>
      <c r="G240" t="s">
        <v>722</v>
      </c>
      <c r="H240" t="s">
        <v>723</v>
      </c>
      <c r="I240" t="s">
        <v>722</v>
      </c>
      <c r="J240" s="1" t="str">
        <f>HYPERLINK("https://zfin.org/ZDB-GENE-080722-16")</f>
        <v>https://zfin.org/ZDB-GENE-080722-16</v>
      </c>
      <c r="K240" t="s">
        <v>724</v>
      </c>
    </row>
    <row r="241" spans="1:11" x14ac:dyDescent="0.2">
      <c r="A241">
        <v>4.6315214683461098E-68</v>
      </c>
      <c r="B241">
        <v>2.7052736227829399</v>
      </c>
      <c r="C241">
        <v>1</v>
      </c>
      <c r="D241">
        <v>0.66200000000000003</v>
      </c>
      <c r="E241">
        <v>7.1709846894402797E-64</v>
      </c>
      <c r="F241">
        <v>1</v>
      </c>
      <c r="G241" t="s">
        <v>725</v>
      </c>
      <c r="H241" t="s">
        <v>726</v>
      </c>
      <c r="I241" t="s">
        <v>725</v>
      </c>
      <c r="J241" s="1" t="str">
        <f>HYPERLINK("https://zfin.org/ZDB-GENE-020806-4")</f>
        <v>https://zfin.org/ZDB-GENE-020806-4</v>
      </c>
      <c r="K241" t="s">
        <v>727</v>
      </c>
    </row>
    <row r="242" spans="1:11" x14ac:dyDescent="0.2">
      <c r="A242">
        <v>5.0445101284712698E-68</v>
      </c>
      <c r="B242">
        <v>0.60455327634514999</v>
      </c>
      <c r="C242">
        <v>0.307</v>
      </c>
      <c r="D242">
        <v>8.9999999999999993E-3</v>
      </c>
      <c r="E242">
        <v>7.8104150319120704E-64</v>
      </c>
      <c r="F242">
        <v>1</v>
      </c>
      <c r="G242" t="s">
        <v>728</v>
      </c>
      <c r="H242" t="s">
        <v>729</v>
      </c>
      <c r="I242" t="s">
        <v>728</v>
      </c>
      <c r="J242" s="1" t="str">
        <f>HYPERLINK("https://zfin.org/ZDB-GENE-060526-21")</f>
        <v>https://zfin.org/ZDB-GENE-060526-21</v>
      </c>
      <c r="K242" t="s">
        <v>730</v>
      </c>
    </row>
    <row r="243" spans="1:11" x14ac:dyDescent="0.2">
      <c r="A243">
        <v>1.0674161413578201E-67</v>
      </c>
      <c r="B243">
        <v>0.41985676836353503</v>
      </c>
      <c r="C243">
        <v>0.33300000000000002</v>
      </c>
      <c r="D243">
        <v>1.2999999999999999E-2</v>
      </c>
      <c r="E243">
        <v>1.65268041166431E-63</v>
      </c>
      <c r="F243">
        <v>1</v>
      </c>
      <c r="G243" t="s">
        <v>731</v>
      </c>
      <c r="H243" t="s">
        <v>732</v>
      </c>
      <c r="I243" t="s">
        <v>731</v>
      </c>
      <c r="J243" s="1" t="str">
        <f>HYPERLINK("https://zfin.org/ZDB-GENE-041014-7")</f>
        <v>https://zfin.org/ZDB-GENE-041014-7</v>
      </c>
      <c r="K243" t="s">
        <v>733</v>
      </c>
    </row>
    <row r="244" spans="1:11" x14ac:dyDescent="0.2">
      <c r="A244">
        <v>1.1282710076231599E-67</v>
      </c>
      <c r="B244">
        <v>0.52324497450460405</v>
      </c>
      <c r="C244">
        <v>0.44700000000000001</v>
      </c>
      <c r="D244">
        <v>3.1E-2</v>
      </c>
      <c r="E244">
        <v>1.7469020011029401E-63</v>
      </c>
      <c r="F244">
        <v>1</v>
      </c>
      <c r="G244" t="s">
        <v>734</v>
      </c>
      <c r="H244" t="s">
        <v>735</v>
      </c>
      <c r="I244" t="s">
        <v>734</v>
      </c>
      <c r="J244" s="1" t="str">
        <f>HYPERLINK("https://zfin.org/")</f>
        <v>https://zfin.org/</v>
      </c>
      <c r="K244" t="s">
        <v>736</v>
      </c>
    </row>
    <row r="245" spans="1:11" x14ac:dyDescent="0.2">
      <c r="A245">
        <v>1.86824012285881E-67</v>
      </c>
      <c r="B245">
        <v>0.50046728252134598</v>
      </c>
      <c r="C245">
        <v>0.45600000000000002</v>
      </c>
      <c r="D245">
        <v>3.3000000000000002E-2</v>
      </c>
      <c r="E245">
        <v>2.8925961822222902E-63</v>
      </c>
      <c r="F245">
        <v>1</v>
      </c>
      <c r="G245" t="s">
        <v>737</v>
      </c>
      <c r="H245" t="s">
        <v>738</v>
      </c>
      <c r="I245" t="s">
        <v>737</v>
      </c>
      <c r="J245" s="1" t="str">
        <f>HYPERLINK("https://zfin.org/ZDB-GENE-060201-2")</f>
        <v>https://zfin.org/ZDB-GENE-060201-2</v>
      </c>
      <c r="K245" t="s">
        <v>739</v>
      </c>
    </row>
    <row r="246" spans="1:11" x14ac:dyDescent="0.2">
      <c r="A246">
        <v>2.47495100241369E-67</v>
      </c>
      <c r="B246">
        <v>1.8568912125224499</v>
      </c>
      <c r="C246">
        <v>1</v>
      </c>
      <c r="D246">
        <v>0.51900000000000002</v>
      </c>
      <c r="E246">
        <v>3.8319666370371199E-63</v>
      </c>
      <c r="F246">
        <v>1</v>
      </c>
      <c r="G246" t="s">
        <v>740</v>
      </c>
      <c r="H246" t="s">
        <v>741</v>
      </c>
      <c r="I246" t="s">
        <v>740</v>
      </c>
      <c r="J246" s="1" t="str">
        <f>HYPERLINK("https://zfin.org/ZDB-GENE-030131-8308")</f>
        <v>https://zfin.org/ZDB-GENE-030131-8308</v>
      </c>
      <c r="K246" t="s">
        <v>742</v>
      </c>
    </row>
    <row r="247" spans="1:11" x14ac:dyDescent="0.2">
      <c r="A247">
        <v>3.8790356434059899E-67</v>
      </c>
      <c r="B247">
        <v>0.49273560866920502</v>
      </c>
      <c r="C247">
        <v>0.36</v>
      </c>
      <c r="D247">
        <v>1.7000000000000001E-2</v>
      </c>
      <c r="E247">
        <v>6.0059108866855E-63</v>
      </c>
      <c r="F247">
        <v>1</v>
      </c>
      <c r="G247" t="s">
        <v>743</v>
      </c>
      <c r="H247" t="s">
        <v>744</v>
      </c>
      <c r="I247" t="s">
        <v>743</v>
      </c>
      <c r="J247" s="1" t="str">
        <f>HYPERLINK("https://zfin.org/ZDB-GENE-050522-275")</f>
        <v>https://zfin.org/ZDB-GENE-050522-275</v>
      </c>
      <c r="K247" t="s">
        <v>745</v>
      </c>
    </row>
    <row r="248" spans="1:11" x14ac:dyDescent="0.2">
      <c r="A248">
        <v>4.7879733030496503E-67</v>
      </c>
      <c r="B248">
        <v>0.29054155106840601</v>
      </c>
      <c r="C248">
        <v>0.219</v>
      </c>
      <c r="D248">
        <v>1E-3</v>
      </c>
      <c r="E248">
        <v>7.4132190651117803E-63</v>
      </c>
      <c r="F248">
        <v>1</v>
      </c>
      <c r="G248" t="s">
        <v>746</v>
      </c>
      <c r="H248" t="s">
        <v>747</v>
      </c>
      <c r="I248" t="s">
        <v>746</v>
      </c>
      <c r="J248" s="1" t="str">
        <f>HYPERLINK("https://zfin.org/ZDB-GENE-131127-468")</f>
        <v>https://zfin.org/ZDB-GENE-131127-468</v>
      </c>
      <c r="K248" t="s">
        <v>748</v>
      </c>
    </row>
    <row r="249" spans="1:11" x14ac:dyDescent="0.2">
      <c r="A249">
        <v>1.10435861285261E-66</v>
      </c>
      <c r="B249">
        <v>1.46713842933866</v>
      </c>
      <c r="C249">
        <v>0.99099999999999999</v>
      </c>
      <c r="D249">
        <v>0.46100000000000002</v>
      </c>
      <c r="E249">
        <v>1.7098784402797E-62</v>
      </c>
      <c r="F249">
        <v>1</v>
      </c>
      <c r="G249" t="s">
        <v>749</v>
      </c>
      <c r="H249" t="s">
        <v>750</v>
      </c>
      <c r="I249" t="s">
        <v>749</v>
      </c>
      <c r="J249" s="1" t="str">
        <f>HYPERLINK("https://zfin.org/ZDB-GENE-030804-2")</f>
        <v>https://zfin.org/ZDB-GENE-030804-2</v>
      </c>
      <c r="K249" t="s">
        <v>751</v>
      </c>
    </row>
    <row r="250" spans="1:11" x14ac:dyDescent="0.2">
      <c r="A250">
        <v>1.0858357686634299E-65</v>
      </c>
      <c r="B250">
        <v>0.39263470355697699</v>
      </c>
      <c r="C250">
        <v>0.28100000000000003</v>
      </c>
      <c r="D250">
        <v>7.0000000000000001E-3</v>
      </c>
      <c r="E250">
        <v>1.68119952062158E-61</v>
      </c>
      <c r="F250">
        <v>1</v>
      </c>
      <c r="G250" t="s">
        <v>752</v>
      </c>
      <c r="H250" t="s">
        <v>753</v>
      </c>
      <c r="I250" t="s">
        <v>752</v>
      </c>
      <c r="J250" s="1" t="str">
        <f>HYPERLINK("https://zfin.org/ZDB-GENE-030131-5975")</f>
        <v>https://zfin.org/ZDB-GENE-030131-5975</v>
      </c>
      <c r="K250" t="s">
        <v>754</v>
      </c>
    </row>
    <row r="251" spans="1:11" x14ac:dyDescent="0.2">
      <c r="A251">
        <v>1.52969731869723E-65</v>
      </c>
      <c r="B251">
        <v>0.65997203896897805</v>
      </c>
      <c r="C251">
        <v>0.48199999999999998</v>
      </c>
      <c r="D251">
        <v>4.1000000000000002E-2</v>
      </c>
      <c r="E251">
        <v>2.3684303585389199E-61</v>
      </c>
      <c r="F251">
        <v>1</v>
      </c>
      <c r="G251" t="s">
        <v>755</v>
      </c>
      <c r="H251" t="s">
        <v>756</v>
      </c>
      <c r="I251" t="s">
        <v>755</v>
      </c>
      <c r="J251" s="1" t="str">
        <f>HYPERLINK("https://zfin.org/ZDB-GENE-070206-10")</f>
        <v>https://zfin.org/ZDB-GENE-070206-10</v>
      </c>
      <c r="K251" t="s">
        <v>757</v>
      </c>
    </row>
    <row r="252" spans="1:11" x14ac:dyDescent="0.2">
      <c r="A252">
        <v>3.0205442650548299E-65</v>
      </c>
      <c r="B252">
        <v>1.7752099382797999</v>
      </c>
      <c r="C252">
        <v>1</v>
      </c>
      <c r="D252">
        <v>0.54800000000000004</v>
      </c>
      <c r="E252">
        <v>4.6767086855843999E-61</v>
      </c>
      <c r="F252">
        <v>1</v>
      </c>
      <c r="G252" t="s">
        <v>758</v>
      </c>
      <c r="H252" t="s">
        <v>759</v>
      </c>
      <c r="I252" t="s">
        <v>758</v>
      </c>
      <c r="J252" s="1" t="str">
        <f>HYPERLINK("https://zfin.org/ZDB-GENE-030131-2830")</f>
        <v>https://zfin.org/ZDB-GENE-030131-2830</v>
      </c>
      <c r="K252" t="s">
        <v>760</v>
      </c>
    </row>
    <row r="253" spans="1:11" x14ac:dyDescent="0.2">
      <c r="A253">
        <v>6.2438578817386797E-65</v>
      </c>
      <c r="B253">
        <v>0.37183310431092598</v>
      </c>
      <c r="C253">
        <v>0.23699999999999999</v>
      </c>
      <c r="D253">
        <v>3.0000000000000001E-3</v>
      </c>
      <c r="E253">
        <v>9.667365158296E-61</v>
      </c>
      <c r="F253">
        <v>1</v>
      </c>
      <c r="G253" t="s">
        <v>761</v>
      </c>
      <c r="H253" t="s">
        <v>762</v>
      </c>
      <c r="I253" t="s">
        <v>761</v>
      </c>
      <c r="J253" s="1" t="str">
        <f>HYPERLINK("https://zfin.org/ZDB-GENE-041114-84")</f>
        <v>https://zfin.org/ZDB-GENE-041114-84</v>
      </c>
      <c r="K253" t="s">
        <v>763</v>
      </c>
    </row>
    <row r="254" spans="1:11" x14ac:dyDescent="0.2">
      <c r="A254">
        <v>7.6906995541621508E-65</v>
      </c>
      <c r="B254">
        <v>0.516754865130854</v>
      </c>
      <c r="C254">
        <v>0.439</v>
      </c>
      <c r="D254">
        <v>3.2000000000000001E-2</v>
      </c>
      <c r="E254">
        <v>1.19075101197093E-60</v>
      </c>
      <c r="F254">
        <v>1</v>
      </c>
      <c r="G254" t="s">
        <v>764</v>
      </c>
      <c r="H254" t="s">
        <v>765</v>
      </c>
      <c r="I254" t="s">
        <v>764</v>
      </c>
      <c r="J254" s="1" t="str">
        <f>HYPERLINK("https://zfin.org/ZDB-GENE-061013-134")</f>
        <v>https://zfin.org/ZDB-GENE-061013-134</v>
      </c>
      <c r="K254" t="s">
        <v>766</v>
      </c>
    </row>
    <row r="255" spans="1:11" x14ac:dyDescent="0.2">
      <c r="A255">
        <v>9.7021960554517806E-65</v>
      </c>
      <c r="B255">
        <v>0.40147629586866002</v>
      </c>
      <c r="C255">
        <v>0.27200000000000002</v>
      </c>
      <c r="D255">
        <v>6.0000000000000001E-3</v>
      </c>
      <c r="E255">
        <v>1.5021910152655999E-60</v>
      </c>
      <c r="F255">
        <v>1</v>
      </c>
      <c r="G255" t="s">
        <v>767</v>
      </c>
      <c r="H255" t="s">
        <v>768</v>
      </c>
      <c r="I255" t="s">
        <v>767</v>
      </c>
      <c r="J255" s="1" t="str">
        <f>HYPERLINK("https://zfin.org/ZDB-GENE-060503-416")</f>
        <v>https://zfin.org/ZDB-GENE-060503-416</v>
      </c>
      <c r="K255" t="s">
        <v>769</v>
      </c>
    </row>
    <row r="256" spans="1:11" x14ac:dyDescent="0.2">
      <c r="A256">
        <v>2.0246082131445002E-64</v>
      </c>
      <c r="B256">
        <v>0.53926573847914405</v>
      </c>
      <c r="C256">
        <v>0.439</v>
      </c>
      <c r="D256">
        <v>3.2000000000000001E-2</v>
      </c>
      <c r="E256">
        <v>3.13470089641163E-60</v>
      </c>
      <c r="F256">
        <v>1</v>
      </c>
      <c r="G256" t="s">
        <v>770</v>
      </c>
      <c r="H256" t="s">
        <v>771</v>
      </c>
      <c r="I256" t="s">
        <v>770</v>
      </c>
      <c r="J256" s="1" t="str">
        <f>HYPERLINK("https://zfin.org/ZDB-GENE-040426-1369")</f>
        <v>https://zfin.org/ZDB-GENE-040426-1369</v>
      </c>
      <c r="K256" t="s">
        <v>772</v>
      </c>
    </row>
    <row r="257" spans="1:11" x14ac:dyDescent="0.2">
      <c r="A257">
        <v>2.6559389820167198E-64</v>
      </c>
      <c r="B257">
        <v>0.28793869730106803</v>
      </c>
      <c r="C257">
        <v>0.21099999999999999</v>
      </c>
      <c r="D257">
        <v>1E-3</v>
      </c>
      <c r="E257">
        <v>4.1121903258565001E-60</v>
      </c>
      <c r="F257">
        <v>1</v>
      </c>
      <c r="G257" t="s">
        <v>773</v>
      </c>
      <c r="H257" t="s">
        <v>774</v>
      </c>
      <c r="I257" t="s">
        <v>773</v>
      </c>
      <c r="J257" s="1" t="str">
        <f>HYPERLINK("https://zfin.org/ZDB-GENE-080917-55")</f>
        <v>https://zfin.org/ZDB-GENE-080917-55</v>
      </c>
      <c r="K257" t="s">
        <v>775</v>
      </c>
    </row>
    <row r="258" spans="1:11" x14ac:dyDescent="0.2">
      <c r="A258">
        <v>2.7017539116619401E-64</v>
      </c>
      <c r="B258">
        <v>0.30989769820874102</v>
      </c>
      <c r="C258">
        <v>0.21099999999999999</v>
      </c>
      <c r="D258">
        <v>1E-3</v>
      </c>
      <c r="E258">
        <v>4.1831255814261802E-60</v>
      </c>
      <c r="F258">
        <v>1</v>
      </c>
      <c r="G258" t="s">
        <v>776</v>
      </c>
      <c r="H258" t="s">
        <v>777</v>
      </c>
      <c r="I258" t="s">
        <v>776</v>
      </c>
      <c r="J258" s="1" t="str">
        <f>HYPERLINK("https://zfin.org/ZDB-GENE-070705-385")</f>
        <v>https://zfin.org/ZDB-GENE-070705-385</v>
      </c>
      <c r="K258" t="s">
        <v>778</v>
      </c>
    </row>
    <row r="259" spans="1:11" x14ac:dyDescent="0.2">
      <c r="A259">
        <v>2.7957598545629699E-64</v>
      </c>
      <c r="B259">
        <v>0.38647347441541902</v>
      </c>
      <c r="C259">
        <v>0.21099999999999999</v>
      </c>
      <c r="D259">
        <v>1E-3</v>
      </c>
      <c r="E259">
        <v>4.3286749828198399E-60</v>
      </c>
      <c r="F259">
        <v>1</v>
      </c>
      <c r="G259" t="s">
        <v>779</v>
      </c>
      <c r="H259" t="s">
        <v>780</v>
      </c>
      <c r="I259" t="s">
        <v>779</v>
      </c>
      <c r="J259" s="1" t="str">
        <f>HYPERLINK("https://zfin.org/ZDB-GENE-060531-6")</f>
        <v>https://zfin.org/ZDB-GENE-060531-6</v>
      </c>
      <c r="K259" t="s">
        <v>781</v>
      </c>
    </row>
    <row r="260" spans="1:11" x14ac:dyDescent="0.2">
      <c r="A260">
        <v>8.2908658022832805E-64</v>
      </c>
      <c r="B260">
        <v>0.53678379068460202</v>
      </c>
      <c r="C260">
        <v>0.39500000000000002</v>
      </c>
      <c r="D260">
        <v>2.5000000000000001E-2</v>
      </c>
      <c r="E260">
        <v>1.28367475216752E-59</v>
      </c>
      <c r="F260">
        <v>1</v>
      </c>
      <c r="G260" t="s">
        <v>782</v>
      </c>
      <c r="H260" t="s">
        <v>783</v>
      </c>
      <c r="I260" t="s">
        <v>782</v>
      </c>
      <c r="J260" s="1" t="str">
        <f>HYPERLINK("https://zfin.org/ZDB-GENE-040704-53")</f>
        <v>https://zfin.org/ZDB-GENE-040704-53</v>
      </c>
      <c r="K260" t="s">
        <v>784</v>
      </c>
    </row>
    <row r="261" spans="1:11" x14ac:dyDescent="0.2">
      <c r="A261">
        <v>1.11620487616687E-63</v>
      </c>
      <c r="B261">
        <v>0.42641741393034099</v>
      </c>
      <c r="C261">
        <v>0.32500000000000001</v>
      </c>
      <c r="D261">
        <v>1.4E-2</v>
      </c>
      <c r="E261">
        <v>1.7282200097691599E-59</v>
      </c>
      <c r="F261">
        <v>1</v>
      </c>
      <c r="G261" t="s">
        <v>785</v>
      </c>
      <c r="H261" t="s">
        <v>786</v>
      </c>
      <c r="I261" t="s">
        <v>785</v>
      </c>
      <c r="J261" s="1" t="str">
        <f>HYPERLINK("https://zfin.org/ZDB-GENE-090312-136")</f>
        <v>https://zfin.org/ZDB-GENE-090312-136</v>
      </c>
      <c r="K261" t="s">
        <v>787</v>
      </c>
    </row>
    <row r="262" spans="1:11" x14ac:dyDescent="0.2">
      <c r="A262">
        <v>3.16714153274331E-63</v>
      </c>
      <c r="B262">
        <v>0.42061067801130297</v>
      </c>
      <c r="C262">
        <v>0.28899999999999998</v>
      </c>
      <c r="D262">
        <v>8.9999999999999993E-3</v>
      </c>
      <c r="E262">
        <v>4.9036852351464702E-59</v>
      </c>
      <c r="F262">
        <v>1</v>
      </c>
      <c r="G262" t="s">
        <v>788</v>
      </c>
      <c r="H262" t="s">
        <v>789</v>
      </c>
      <c r="I262" t="s">
        <v>788</v>
      </c>
      <c r="J262" s="1" t="str">
        <f>HYPERLINK("https://zfin.org/ZDB-GENE-080107-1")</f>
        <v>https://zfin.org/ZDB-GENE-080107-1</v>
      </c>
      <c r="K262" t="s">
        <v>790</v>
      </c>
    </row>
    <row r="263" spans="1:11" x14ac:dyDescent="0.2">
      <c r="A263">
        <v>5.7602206247667898E-63</v>
      </c>
      <c r="B263">
        <v>1.16074191553752</v>
      </c>
      <c r="C263">
        <v>0.91200000000000003</v>
      </c>
      <c r="D263">
        <v>0.247</v>
      </c>
      <c r="E263">
        <v>8.9185495933264195E-59</v>
      </c>
      <c r="F263">
        <v>1</v>
      </c>
      <c r="G263" t="s">
        <v>791</v>
      </c>
      <c r="H263" t="s">
        <v>792</v>
      </c>
      <c r="I263" t="s">
        <v>791</v>
      </c>
      <c r="J263" s="1" t="str">
        <f>HYPERLINK("https://zfin.org/ZDB-GENE-081107-63")</f>
        <v>https://zfin.org/ZDB-GENE-081107-63</v>
      </c>
      <c r="K263" t="s">
        <v>793</v>
      </c>
    </row>
    <row r="264" spans="1:11" x14ac:dyDescent="0.2">
      <c r="A264">
        <v>5.9499589398807299E-63</v>
      </c>
      <c r="B264">
        <v>1.4563103748653301</v>
      </c>
      <c r="C264">
        <v>1</v>
      </c>
      <c r="D264">
        <v>0.68899999999999995</v>
      </c>
      <c r="E264">
        <v>9.2123214266173296E-59</v>
      </c>
      <c r="F264">
        <v>1</v>
      </c>
      <c r="G264" t="s">
        <v>794</v>
      </c>
      <c r="H264" t="s">
        <v>795</v>
      </c>
      <c r="I264" t="s">
        <v>794</v>
      </c>
      <c r="J264" s="1" t="str">
        <f>HYPERLINK("https://zfin.org/ZDB-GENE-030326-2")</f>
        <v>https://zfin.org/ZDB-GENE-030326-2</v>
      </c>
      <c r="K264" t="s">
        <v>796</v>
      </c>
    </row>
    <row r="265" spans="1:11" x14ac:dyDescent="0.2">
      <c r="A265">
        <v>7.3106036034188505E-63</v>
      </c>
      <c r="B265">
        <v>0.45568748135435599</v>
      </c>
      <c r="C265">
        <v>0.32500000000000001</v>
      </c>
      <c r="D265">
        <v>1.4E-2</v>
      </c>
      <c r="E265">
        <v>1.13190075591734E-58</v>
      </c>
      <c r="F265">
        <v>1</v>
      </c>
      <c r="G265" t="s">
        <v>797</v>
      </c>
      <c r="H265" t="s">
        <v>798</v>
      </c>
      <c r="I265" t="s">
        <v>797</v>
      </c>
      <c r="J265" s="1" t="str">
        <f>HYPERLINK("https://zfin.org/ZDB-GENE-141212-371")</f>
        <v>https://zfin.org/ZDB-GENE-141212-371</v>
      </c>
      <c r="K265" t="s">
        <v>799</v>
      </c>
    </row>
    <row r="266" spans="1:11" x14ac:dyDescent="0.2">
      <c r="A266">
        <v>9.3564136177593803E-63</v>
      </c>
      <c r="B266">
        <v>-1.71242636284144</v>
      </c>
      <c r="C266">
        <v>0.97399999999999998</v>
      </c>
      <c r="D266">
        <v>0.99299999999999999</v>
      </c>
      <c r="E266">
        <v>1.4486535204376899E-58</v>
      </c>
      <c r="F266">
        <v>1</v>
      </c>
      <c r="G266" t="s">
        <v>800</v>
      </c>
      <c r="H266" t="s">
        <v>801</v>
      </c>
      <c r="I266" t="s">
        <v>800</v>
      </c>
      <c r="J266" s="1" t="str">
        <f>HYPERLINK("https://zfin.org/ZDB-GENE-040426-2209")</f>
        <v>https://zfin.org/ZDB-GENE-040426-2209</v>
      </c>
      <c r="K266" t="s">
        <v>802</v>
      </c>
    </row>
    <row r="267" spans="1:11" x14ac:dyDescent="0.2">
      <c r="A267">
        <v>1.4193581174272701E-62</v>
      </c>
      <c r="B267">
        <v>0.37710618898126302</v>
      </c>
      <c r="C267">
        <v>0.27200000000000002</v>
      </c>
      <c r="D267">
        <v>7.0000000000000001E-3</v>
      </c>
      <c r="E267">
        <v>2.19759217321264E-58</v>
      </c>
      <c r="F267">
        <v>1</v>
      </c>
      <c r="G267" t="s">
        <v>803</v>
      </c>
      <c r="H267" t="s">
        <v>804</v>
      </c>
      <c r="I267" t="s">
        <v>803</v>
      </c>
      <c r="J267" s="1" t="str">
        <f>HYPERLINK("https://zfin.org/ZDB-GENE-060306-2")</f>
        <v>https://zfin.org/ZDB-GENE-060306-2</v>
      </c>
      <c r="K267" t="s">
        <v>805</v>
      </c>
    </row>
    <row r="268" spans="1:11" x14ac:dyDescent="0.2">
      <c r="A268">
        <v>2.1064737457105698E-62</v>
      </c>
      <c r="B268">
        <v>0.44112588969799799</v>
      </c>
      <c r="C268">
        <v>0.29799999999999999</v>
      </c>
      <c r="D268">
        <v>1.0999999999999999E-2</v>
      </c>
      <c r="E268">
        <v>3.26145330048367E-58</v>
      </c>
      <c r="F268">
        <v>1</v>
      </c>
      <c r="G268" t="s">
        <v>806</v>
      </c>
      <c r="H268" t="s">
        <v>807</v>
      </c>
      <c r="I268" t="s">
        <v>806</v>
      </c>
      <c r="J268" s="1" t="str">
        <f>HYPERLINK("https://zfin.org/ZDB-GENE-050417-103")</f>
        <v>https://zfin.org/ZDB-GENE-050417-103</v>
      </c>
      <c r="K268" t="s">
        <v>808</v>
      </c>
    </row>
    <row r="269" spans="1:11" x14ac:dyDescent="0.2">
      <c r="A269">
        <v>2.3208754328983798E-62</v>
      </c>
      <c r="B269">
        <v>2.43662026964207</v>
      </c>
      <c r="C269">
        <v>0.66700000000000004</v>
      </c>
      <c r="D269">
        <v>0.114</v>
      </c>
      <c r="E269">
        <v>3.5934114327565598E-58</v>
      </c>
      <c r="F269">
        <v>1</v>
      </c>
      <c r="G269" t="s">
        <v>809</v>
      </c>
      <c r="H269" t="s">
        <v>810</v>
      </c>
      <c r="I269" t="s">
        <v>809</v>
      </c>
      <c r="J269" s="1" t="str">
        <f>HYPERLINK("https://zfin.org/ZDB-GENE-040822-31")</f>
        <v>https://zfin.org/ZDB-GENE-040822-31</v>
      </c>
      <c r="K269" t="s">
        <v>811</v>
      </c>
    </row>
    <row r="270" spans="1:11" x14ac:dyDescent="0.2">
      <c r="A270">
        <v>2.6319621295092302E-62</v>
      </c>
      <c r="B270">
        <v>-1.0969067995420101</v>
      </c>
      <c r="C270">
        <v>1</v>
      </c>
      <c r="D270">
        <v>0.999</v>
      </c>
      <c r="E270">
        <v>4.0750669651191499E-58</v>
      </c>
      <c r="F270">
        <v>1</v>
      </c>
      <c r="G270" t="s">
        <v>812</v>
      </c>
      <c r="H270" t="s">
        <v>813</v>
      </c>
      <c r="I270" t="s">
        <v>812</v>
      </c>
      <c r="J270" s="1" t="str">
        <f>HYPERLINK("https://zfin.org/ZDB-GENE-990415-52")</f>
        <v>https://zfin.org/ZDB-GENE-990415-52</v>
      </c>
      <c r="K270" t="s">
        <v>814</v>
      </c>
    </row>
    <row r="271" spans="1:11" x14ac:dyDescent="0.2">
      <c r="A271">
        <v>4.0344434834234904E-62</v>
      </c>
      <c r="B271">
        <v>0.63009795748519903</v>
      </c>
      <c r="C271">
        <v>0.56100000000000005</v>
      </c>
      <c r="D271">
        <v>6.3E-2</v>
      </c>
      <c r="E271">
        <v>6.2465288453845897E-58</v>
      </c>
      <c r="F271">
        <v>1</v>
      </c>
      <c r="G271" t="s">
        <v>815</v>
      </c>
      <c r="H271" t="s">
        <v>816</v>
      </c>
      <c r="I271" t="s">
        <v>815</v>
      </c>
      <c r="J271" s="1" t="str">
        <f>HYPERLINK("https://zfin.org/ZDB-GENE-040930-8")</f>
        <v>https://zfin.org/ZDB-GENE-040930-8</v>
      </c>
      <c r="K271" t="s">
        <v>817</v>
      </c>
    </row>
    <row r="272" spans="1:11" x14ac:dyDescent="0.2">
      <c r="A272">
        <v>6.0301439397231203E-62</v>
      </c>
      <c r="B272">
        <v>-1.1350346433934499</v>
      </c>
      <c r="C272">
        <v>1</v>
      </c>
      <c r="D272">
        <v>0.999</v>
      </c>
      <c r="E272">
        <v>9.3364718618733102E-58</v>
      </c>
      <c r="F272">
        <v>1</v>
      </c>
      <c r="G272" t="s">
        <v>818</v>
      </c>
      <c r="H272" t="s">
        <v>819</v>
      </c>
      <c r="I272" t="s">
        <v>818</v>
      </c>
      <c r="J272" s="1" t="str">
        <f>HYPERLINK("https://zfin.org/ZDB-GENE-030131-7528")</f>
        <v>https://zfin.org/ZDB-GENE-030131-7528</v>
      </c>
      <c r="K272" t="s">
        <v>820</v>
      </c>
    </row>
    <row r="273" spans="1:11" x14ac:dyDescent="0.2">
      <c r="A273">
        <v>6.58842718409405E-62</v>
      </c>
      <c r="B273">
        <v>-2.0463321736277398</v>
      </c>
      <c r="C273">
        <v>0.95599999999999996</v>
      </c>
      <c r="D273">
        <v>0.99299999999999999</v>
      </c>
      <c r="E273">
        <v>1.02008618091328E-57</v>
      </c>
      <c r="F273">
        <v>1</v>
      </c>
      <c r="G273" t="s">
        <v>821</v>
      </c>
      <c r="H273" t="s">
        <v>822</v>
      </c>
      <c r="I273" t="s">
        <v>821</v>
      </c>
      <c r="J273" s="1" t="str">
        <f>HYPERLINK("https://zfin.org/ZDB-GENE-010328-2")</f>
        <v>https://zfin.org/ZDB-GENE-010328-2</v>
      </c>
      <c r="K273" t="s">
        <v>823</v>
      </c>
    </row>
    <row r="274" spans="1:11" x14ac:dyDescent="0.2">
      <c r="A274">
        <v>8.0642333377641198E-62</v>
      </c>
      <c r="B274">
        <v>0.29875875033651</v>
      </c>
      <c r="C274">
        <v>0.219</v>
      </c>
      <c r="D274">
        <v>2E-3</v>
      </c>
      <c r="E274">
        <v>1.24858524768602E-57</v>
      </c>
      <c r="F274">
        <v>1</v>
      </c>
      <c r="G274" t="s">
        <v>824</v>
      </c>
      <c r="H274" t="s">
        <v>825</v>
      </c>
      <c r="I274" t="s">
        <v>824</v>
      </c>
      <c r="J274" s="1" t="str">
        <f>HYPERLINK("https://zfin.org/ZDB-GENE-040426-1206")</f>
        <v>https://zfin.org/ZDB-GENE-040426-1206</v>
      </c>
      <c r="K274" t="s">
        <v>826</v>
      </c>
    </row>
    <row r="275" spans="1:11" x14ac:dyDescent="0.2">
      <c r="A275">
        <v>1.1120310613831401E-61</v>
      </c>
      <c r="B275">
        <v>0.26793018078333097</v>
      </c>
      <c r="C275">
        <v>0.20200000000000001</v>
      </c>
      <c r="D275">
        <v>1E-3</v>
      </c>
      <c r="E275">
        <v>1.7217576923395099E-57</v>
      </c>
      <c r="F275">
        <v>1</v>
      </c>
      <c r="G275" t="s">
        <v>827</v>
      </c>
      <c r="H275" t="s">
        <v>828</v>
      </c>
      <c r="I275" t="s">
        <v>827</v>
      </c>
      <c r="J275" s="1" t="str">
        <f>HYPERLINK("https://zfin.org/")</f>
        <v>https://zfin.org/</v>
      </c>
    </row>
    <row r="276" spans="1:11" x14ac:dyDescent="0.2">
      <c r="A276">
        <v>1.5913528234049499E-61</v>
      </c>
      <c r="B276">
        <v>0.402458277074282</v>
      </c>
      <c r="C276">
        <v>0.27200000000000002</v>
      </c>
      <c r="D276">
        <v>8.0000000000000002E-3</v>
      </c>
      <c r="E276">
        <v>2.4638915764778801E-57</v>
      </c>
      <c r="F276">
        <v>1</v>
      </c>
      <c r="G276" t="s">
        <v>829</v>
      </c>
      <c r="H276" t="s">
        <v>830</v>
      </c>
      <c r="I276" t="s">
        <v>829</v>
      </c>
      <c r="J276" s="1" t="str">
        <f>HYPERLINK("https://zfin.org/ZDB-GENE-050309-170")</f>
        <v>https://zfin.org/ZDB-GENE-050309-170</v>
      </c>
      <c r="K276" t="s">
        <v>831</v>
      </c>
    </row>
    <row r="277" spans="1:11" x14ac:dyDescent="0.2">
      <c r="A277">
        <v>2.1374211764051199E-61</v>
      </c>
      <c r="B277">
        <v>0.50473626058950305</v>
      </c>
      <c r="C277">
        <v>0.43</v>
      </c>
      <c r="D277">
        <v>3.3000000000000002E-2</v>
      </c>
      <c r="E277">
        <v>3.3093692074280498E-57</v>
      </c>
      <c r="F277">
        <v>1</v>
      </c>
      <c r="G277" t="s">
        <v>832</v>
      </c>
      <c r="H277" t="s">
        <v>833</v>
      </c>
      <c r="I277" t="s">
        <v>832</v>
      </c>
      <c r="J277" s="1" t="str">
        <f>HYPERLINK("https://zfin.org/ZDB-GENE-131120-165")</f>
        <v>https://zfin.org/ZDB-GENE-131120-165</v>
      </c>
      <c r="K277" t="s">
        <v>834</v>
      </c>
    </row>
    <row r="278" spans="1:11" x14ac:dyDescent="0.2">
      <c r="A278">
        <v>2.98095731471221E-61</v>
      </c>
      <c r="B278">
        <v>0.38471046270833897</v>
      </c>
      <c r="C278">
        <v>0.28899999999999998</v>
      </c>
      <c r="D278">
        <v>0.01</v>
      </c>
      <c r="E278">
        <v>4.6154162103689198E-57</v>
      </c>
      <c r="F278">
        <v>1</v>
      </c>
      <c r="G278" t="s">
        <v>835</v>
      </c>
      <c r="H278" t="s">
        <v>836</v>
      </c>
      <c r="I278" t="s">
        <v>835</v>
      </c>
      <c r="J278" s="1" t="str">
        <f>HYPERLINK("https://zfin.org/ZDB-GENE-031006-8")</f>
        <v>https://zfin.org/ZDB-GENE-031006-8</v>
      </c>
      <c r="K278" t="s">
        <v>837</v>
      </c>
    </row>
    <row r="279" spans="1:11" x14ac:dyDescent="0.2">
      <c r="A279">
        <v>4.5206536893153699E-61</v>
      </c>
      <c r="B279">
        <v>0.376462923068345</v>
      </c>
      <c r="C279">
        <v>0.28899999999999998</v>
      </c>
      <c r="D279">
        <v>0.01</v>
      </c>
      <c r="E279">
        <v>6.9993281071669895E-57</v>
      </c>
      <c r="F279">
        <v>1</v>
      </c>
      <c r="G279" t="s">
        <v>838</v>
      </c>
      <c r="H279" t="s">
        <v>839</v>
      </c>
      <c r="I279" t="s">
        <v>838</v>
      </c>
      <c r="J279" s="1" t="str">
        <f>HYPERLINK("https://zfin.org/ZDB-GENE-000405-3")</f>
        <v>https://zfin.org/ZDB-GENE-000405-3</v>
      </c>
      <c r="K279" t="s">
        <v>840</v>
      </c>
    </row>
    <row r="280" spans="1:11" x14ac:dyDescent="0.2">
      <c r="A280">
        <v>4.5389562555161502E-61</v>
      </c>
      <c r="B280">
        <v>0.55370210338103798</v>
      </c>
      <c r="C280">
        <v>0.42099999999999999</v>
      </c>
      <c r="D280">
        <v>3.1E-2</v>
      </c>
      <c r="E280">
        <v>7.0276659704156595E-57</v>
      </c>
      <c r="F280">
        <v>1</v>
      </c>
      <c r="G280" t="s">
        <v>363</v>
      </c>
      <c r="H280" t="s">
        <v>841</v>
      </c>
      <c r="I280" t="s">
        <v>363</v>
      </c>
      <c r="J280" s="1" t="str">
        <f>HYPERLINK("https://zfin.org/ZDB-GENE-040426-1687")</f>
        <v>https://zfin.org/ZDB-GENE-040426-1687</v>
      </c>
      <c r="K280" t="s">
        <v>364</v>
      </c>
    </row>
    <row r="281" spans="1:11" x14ac:dyDescent="0.2">
      <c r="A281">
        <v>5.6620758488958901E-61</v>
      </c>
      <c r="B281">
        <v>0.76348286357589601</v>
      </c>
      <c r="C281">
        <v>0.45600000000000002</v>
      </c>
      <c r="D281">
        <v>4.1000000000000002E-2</v>
      </c>
      <c r="E281">
        <v>8.7665920368455105E-57</v>
      </c>
      <c r="F281">
        <v>1</v>
      </c>
      <c r="G281" t="s">
        <v>842</v>
      </c>
      <c r="H281" t="s">
        <v>843</v>
      </c>
      <c r="I281" t="s">
        <v>842</v>
      </c>
      <c r="J281" s="1" t="str">
        <f>HYPERLINK("https://zfin.org/ZDB-GENE-141216-186")</f>
        <v>https://zfin.org/ZDB-GENE-141216-186</v>
      </c>
      <c r="K281" t="s">
        <v>844</v>
      </c>
    </row>
    <row r="282" spans="1:11" x14ac:dyDescent="0.2">
      <c r="A282">
        <v>1.08125429435044E-60</v>
      </c>
      <c r="B282">
        <v>0.62915341872119701</v>
      </c>
      <c r="C282">
        <v>0.57899999999999996</v>
      </c>
      <c r="D282">
        <v>7.0000000000000007E-2</v>
      </c>
      <c r="E282">
        <v>1.6741060239427899E-56</v>
      </c>
      <c r="F282">
        <v>1</v>
      </c>
      <c r="G282" t="s">
        <v>845</v>
      </c>
      <c r="H282" t="s">
        <v>846</v>
      </c>
      <c r="I282" t="s">
        <v>845</v>
      </c>
      <c r="J282" s="1" t="str">
        <f>HYPERLINK("https://zfin.org/ZDB-GENE-040718-425")</f>
        <v>https://zfin.org/ZDB-GENE-040718-425</v>
      </c>
      <c r="K282" t="s">
        <v>847</v>
      </c>
    </row>
    <row r="283" spans="1:11" x14ac:dyDescent="0.2">
      <c r="A283">
        <v>1.1968504598530201E-60</v>
      </c>
      <c r="B283">
        <v>0.998602082420884</v>
      </c>
      <c r="C283">
        <v>0.92100000000000004</v>
      </c>
      <c r="D283">
        <v>0.23200000000000001</v>
      </c>
      <c r="E283">
        <v>1.8530835669904299E-56</v>
      </c>
      <c r="F283">
        <v>1</v>
      </c>
      <c r="G283" t="s">
        <v>848</v>
      </c>
      <c r="H283" t="s">
        <v>849</v>
      </c>
      <c r="I283" t="s">
        <v>848</v>
      </c>
      <c r="J283" s="1" t="str">
        <f>HYPERLINK("https://zfin.org/ZDB-GENE-041010-133")</f>
        <v>https://zfin.org/ZDB-GENE-041010-133</v>
      </c>
      <c r="K283" t="s">
        <v>850</v>
      </c>
    </row>
    <row r="284" spans="1:11" x14ac:dyDescent="0.2">
      <c r="A284">
        <v>1.5865138415931199E-60</v>
      </c>
      <c r="B284">
        <v>2.8339465166253399</v>
      </c>
      <c r="C284">
        <v>1</v>
      </c>
      <c r="D284">
        <v>0.93700000000000006</v>
      </c>
      <c r="E284">
        <v>2.4563993809386298E-56</v>
      </c>
      <c r="F284">
        <v>1</v>
      </c>
      <c r="G284" t="s">
        <v>851</v>
      </c>
      <c r="H284" t="s">
        <v>852</v>
      </c>
      <c r="I284" t="s">
        <v>851</v>
      </c>
      <c r="J284" s="1" t="str">
        <f>HYPERLINK("https://zfin.org/ZDB-GENE-050320-61")</f>
        <v>https://zfin.org/ZDB-GENE-050320-61</v>
      </c>
      <c r="K284" t="s">
        <v>853</v>
      </c>
    </row>
    <row r="285" spans="1:11" x14ac:dyDescent="0.2">
      <c r="A285">
        <v>1.88281131579526E-60</v>
      </c>
      <c r="B285">
        <v>-2.0513789091869699</v>
      </c>
      <c r="C285">
        <v>0.98199999999999998</v>
      </c>
      <c r="D285">
        <v>0.99299999999999999</v>
      </c>
      <c r="E285">
        <v>2.9151567602458E-56</v>
      </c>
      <c r="F285">
        <v>1</v>
      </c>
      <c r="G285" t="s">
        <v>854</v>
      </c>
      <c r="H285" t="s">
        <v>855</v>
      </c>
      <c r="I285" t="s">
        <v>854</v>
      </c>
      <c r="J285" s="1" t="str">
        <f>HYPERLINK("https://zfin.org/ZDB-GENE-061201-9")</f>
        <v>https://zfin.org/ZDB-GENE-061201-9</v>
      </c>
      <c r="K285" t="s">
        <v>856</v>
      </c>
    </row>
    <row r="286" spans="1:11" x14ac:dyDescent="0.2">
      <c r="A286">
        <v>1.97453651133002E-60</v>
      </c>
      <c r="B286">
        <v>0.58596975269019402</v>
      </c>
      <c r="C286">
        <v>0.49099999999999999</v>
      </c>
      <c r="D286">
        <v>4.7E-2</v>
      </c>
      <c r="E286">
        <v>3.0571748804922601E-56</v>
      </c>
      <c r="F286">
        <v>1</v>
      </c>
      <c r="G286" t="s">
        <v>857</v>
      </c>
      <c r="H286" t="s">
        <v>858</v>
      </c>
      <c r="I286" t="s">
        <v>857</v>
      </c>
      <c r="J286" s="1" t="str">
        <f>HYPERLINK("https://zfin.org/ZDB-GENE-010724-8")</f>
        <v>https://zfin.org/ZDB-GENE-010724-8</v>
      </c>
      <c r="K286" t="s">
        <v>859</v>
      </c>
    </row>
    <row r="287" spans="1:11" x14ac:dyDescent="0.2">
      <c r="A287">
        <v>2.6626868634760901E-60</v>
      </c>
      <c r="B287">
        <v>-2.23554460725203</v>
      </c>
      <c r="C287">
        <v>1</v>
      </c>
      <c r="D287">
        <v>1</v>
      </c>
      <c r="E287">
        <v>4.1226380707200296E-56</v>
      </c>
      <c r="F287">
        <v>1</v>
      </c>
      <c r="G287" t="s">
        <v>860</v>
      </c>
      <c r="H287" t="s">
        <v>861</v>
      </c>
      <c r="I287" t="s">
        <v>860</v>
      </c>
      <c r="J287" s="1" t="str">
        <f>HYPERLINK("https://zfin.org/ZDB-GENE-080225-18")</f>
        <v>https://zfin.org/ZDB-GENE-080225-18</v>
      </c>
      <c r="K287" t="s">
        <v>862</v>
      </c>
    </row>
    <row r="288" spans="1:11" x14ac:dyDescent="0.2">
      <c r="A288">
        <v>2.97571616959935E-60</v>
      </c>
      <c r="B288">
        <v>-2.0594624226369702</v>
      </c>
      <c r="C288">
        <v>1</v>
      </c>
      <c r="D288">
        <v>1</v>
      </c>
      <c r="E288">
        <v>4.60730134539068E-56</v>
      </c>
      <c r="F288">
        <v>1</v>
      </c>
      <c r="G288" t="s">
        <v>863</v>
      </c>
      <c r="H288" t="s">
        <v>864</v>
      </c>
      <c r="I288" t="s">
        <v>863</v>
      </c>
      <c r="J288" s="1" t="str">
        <f>HYPERLINK("https://zfin.org/ZDB-GENE-130603-61")</f>
        <v>https://zfin.org/ZDB-GENE-130603-61</v>
      </c>
      <c r="K288" t="s">
        <v>865</v>
      </c>
    </row>
    <row r="289" spans="1:11" x14ac:dyDescent="0.2">
      <c r="A289">
        <v>2.9933167293586102E-60</v>
      </c>
      <c r="B289">
        <v>0.35377576480183998</v>
      </c>
      <c r="C289">
        <v>0.26300000000000001</v>
      </c>
      <c r="D289">
        <v>7.0000000000000001E-3</v>
      </c>
      <c r="E289">
        <v>4.6345522920659303E-56</v>
      </c>
      <c r="F289">
        <v>1</v>
      </c>
      <c r="G289" t="s">
        <v>866</v>
      </c>
      <c r="H289" t="s">
        <v>867</v>
      </c>
      <c r="I289" t="s">
        <v>866</v>
      </c>
      <c r="J289" s="1" t="str">
        <f>HYPERLINK("https://zfin.org/ZDB-GENE-160113-129")</f>
        <v>https://zfin.org/ZDB-GENE-160113-129</v>
      </c>
      <c r="K289" t="s">
        <v>868</v>
      </c>
    </row>
    <row r="290" spans="1:11" x14ac:dyDescent="0.2">
      <c r="A290">
        <v>3.9567312400422902E-60</v>
      </c>
      <c r="B290">
        <v>0.54095739372388096</v>
      </c>
      <c r="C290">
        <v>0.53500000000000003</v>
      </c>
      <c r="D290">
        <v>5.8000000000000003E-2</v>
      </c>
      <c r="E290">
        <v>6.12620697895747E-56</v>
      </c>
      <c r="F290">
        <v>1</v>
      </c>
      <c r="G290" t="s">
        <v>869</v>
      </c>
      <c r="H290" t="s">
        <v>870</v>
      </c>
      <c r="I290" t="s">
        <v>869</v>
      </c>
      <c r="J290" s="1" t="str">
        <f>HYPERLINK("https://zfin.org/ZDB-GENE-000210-35")</f>
        <v>https://zfin.org/ZDB-GENE-000210-35</v>
      </c>
      <c r="K290" t="s">
        <v>871</v>
      </c>
    </row>
    <row r="291" spans="1:11" x14ac:dyDescent="0.2">
      <c r="A291">
        <v>4.5887650672392498E-60</v>
      </c>
      <c r="B291">
        <v>0.54709177369315698</v>
      </c>
      <c r="C291">
        <v>0.41199999999999998</v>
      </c>
      <c r="D291">
        <v>3.1E-2</v>
      </c>
      <c r="E291">
        <v>7.1047849536065297E-56</v>
      </c>
      <c r="F291">
        <v>1</v>
      </c>
      <c r="G291" t="s">
        <v>872</v>
      </c>
      <c r="H291" t="s">
        <v>873</v>
      </c>
      <c r="I291" t="s">
        <v>872</v>
      </c>
      <c r="J291" s="1" t="str">
        <f>HYPERLINK("https://zfin.org/ZDB-GENE-030131-7099")</f>
        <v>https://zfin.org/ZDB-GENE-030131-7099</v>
      </c>
      <c r="K291" t="s">
        <v>874</v>
      </c>
    </row>
    <row r="292" spans="1:11" x14ac:dyDescent="0.2">
      <c r="A292">
        <v>5.2535897413818702E-60</v>
      </c>
      <c r="B292">
        <v>0.73220761771398601</v>
      </c>
      <c r="C292">
        <v>0.623</v>
      </c>
      <c r="D292">
        <v>8.5000000000000006E-2</v>
      </c>
      <c r="E292">
        <v>8.13413299658154E-56</v>
      </c>
      <c r="F292">
        <v>1</v>
      </c>
      <c r="G292" t="s">
        <v>875</v>
      </c>
      <c r="H292" t="s">
        <v>876</v>
      </c>
      <c r="I292" t="s">
        <v>875</v>
      </c>
      <c r="J292" s="1" t="str">
        <f>HYPERLINK("https://zfin.org/ZDB-GENE-040426-754")</f>
        <v>https://zfin.org/ZDB-GENE-040426-754</v>
      </c>
      <c r="K292" t="s">
        <v>877</v>
      </c>
    </row>
    <row r="293" spans="1:11" x14ac:dyDescent="0.2">
      <c r="A293">
        <v>6.7163681969683198E-60</v>
      </c>
      <c r="B293">
        <v>0.43329960542353202</v>
      </c>
      <c r="C293">
        <v>0.34200000000000003</v>
      </c>
      <c r="D293">
        <v>1.7999999999999999E-2</v>
      </c>
      <c r="E293">
        <v>1.0398952879365999E-55</v>
      </c>
      <c r="F293">
        <v>1</v>
      </c>
      <c r="G293" t="s">
        <v>878</v>
      </c>
      <c r="H293" t="s">
        <v>879</v>
      </c>
      <c r="I293" t="s">
        <v>878</v>
      </c>
      <c r="J293" s="1" t="str">
        <f>HYPERLINK("https://zfin.org/")</f>
        <v>https://zfin.org/</v>
      </c>
      <c r="K293" t="s">
        <v>880</v>
      </c>
    </row>
    <row r="294" spans="1:11" x14ac:dyDescent="0.2">
      <c r="A294">
        <v>8.1398972765130099E-60</v>
      </c>
      <c r="B294">
        <v>0.35806815223856803</v>
      </c>
      <c r="C294">
        <v>0.22800000000000001</v>
      </c>
      <c r="D294">
        <v>4.0000000000000001E-3</v>
      </c>
      <c r="E294">
        <v>1.2603002953225101E-55</v>
      </c>
      <c r="F294">
        <v>1</v>
      </c>
      <c r="G294" t="s">
        <v>881</v>
      </c>
      <c r="H294" t="s">
        <v>882</v>
      </c>
      <c r="I294" t="s">
        <v>881</v>
      </c>
      <c r="J294" s="1" t="str">
        <f>HYPERLINK("https://zfin.org/ZDB-GENE-060929-352")</f>
        <v>https://zfin.org/ZDB-GENE-060929-352</v>
      </c>
      <c r="K294" t="s">
        <v>883</v>
      </c>
    </row>
    <row r="295" spans="1:11" x14ac:dyDescent="0.2">
      <c r="A295">
        <v>9.20356547362758E-60</v>
      </c>
      <c r="B295">
        <v>2.2278770263855101</v>
      </c>
      <c r="C295">
        <v>0.97399999999999998</v>
      </c>
      <c r="D295">
        <v>0.55200000000000005</v>
      </c>
      <c r="E295">
        <v>1.4249880422817601E-55</v>
      </c>
      <c r="F295">
        <v>1</v>
      </c>
      <c r="G295" t="s">
        <v>884</v>
      </c>
      <c r="H295" t="s">
        <v>885</v>
      </c>
      <c r="I295" t="s">
        <v>884</v>
      </c>
      <c r="J295" s="1" t="str">
        <f>HYPERLINK("https://zfin.org/ZDB-GENE-071004-57")</f>
        <v>https://zfin.org/ZDB-GENE-071004-57</v>
      </c>
      <c r="K295" t="s">
        <v>886</v>
      </c>
    </row>
    <row r="296" spans="1:11" x14ac:dyDescent="0.2">
      <c r="A296">
        <v>1.011328341825E-59</v>
      </c>
      <c r="B296">
        <v>1.44629822039014</v>
      </c>
      <c r="C296">
        <v>1</v>
      </c>
      <c r="D296">
        <v>0.623</v>
      </c>
      <c r="E296">
        <v>1.5658396716476499E-55</v>
      </c>
      <c r="F296">
        <v>1</v>
      </c>
      <c r="G296" t="s">
        <v>887</v>
      </c>
      <c r="H296" t="s">
        <v>888</v>
      </c>
      <c r="I296" t="s">
        <v>887</v>
      </c>
      <c r="J296" s="1" t="str">
        <f>HYPERLINK("https://zfin.org/ZDB-GENE-020913-1")</f>
        <v>https://zfin.org/ZDB-GENE-020913-1</v>
      </c>
      <c r="K296" t="s">
        <v>889</v>
      </c>
    </row>
    <row r="297" spans="1:11" x14ac:dyDescent="0.2">
      <c r="A297">
        <v>1.03187896023215E-59</v>
      </c>
      <c r="B297">
        <v>0.403994850717114</v>
      </c>
      <c r="C297">
        <v>0.22800000000000001</v>
      </c>
      <c r="D297">
        <v>4.0000000000000001E-3</v>
      </c>
      <c r="E297">
        <v>1.5976581941274401E-55</v>
      </c>
      <c r="F297">
        <v>1</v>
      </c>
      <c r="G297" t="s">
        <v>890</v>
      </c>
      <c r="H297" t="s">
        <v>891</v>
      </c>
      <c r="I297" t="s">
        <v>890</v>
      </c>
      <c r="J297" s="1" t="str">
        <f>HYPERLINK("https://zfin.org/ZDB-GENE-050208-447")</f>
        <v>https://zfin.org/ZDB-GENE-050208-447</v>
      </c>
      <c r="K297" t="s">
        <v>892</v>
      </c>
    </row>
    <row r="298" spans="1:11" x14ac:dyDescent="0.2">
      <c r="A298">
        <v>1.36920532641586E-59</v>
      </c>
      <c r="B298">
        <v>0.36739473856138399</v>
      </c>
      <c r="C298">
        <v>0.27200000000000002</v>
      </c>
      <c r="D298">
        <v>8.9999999999999993E-3</v>
      </c>
      <c r="E298">
        <v>2.1199406068896699E-55</v>
      </c>
      <c r="F298">
        <v>1</v>
      </c>
      <c r="G298" t="s">
        <v>893</v>
      </c>
      <c r="H298" t="s">
        <v>894</v>
      </c>
      <c r="I298" t="s">
        <v>893</v>
      </c>
      <c r="J298" s="1" t="str">
        <f>HYPERLINK("https://zfin.org/ZDB-GENE-031001-10")</f>
        <v>https://zfin.org/ZDB-GENE-031001-10</v>
      </c>
      <c r="K298" t="s">
        <v>895</v>
      </c>
    </row>
    <row r="299" spans="1:11" x14ac:dyDescent="0.2">
      <c r="A299">
        <v>2.2600146138183602E-59</v>
      </c>
      <c r="B299">
        <v>0.37800567973031102</v>
      </c>
      <c r="C299">
        <v>0.29799999999999999</v>
      </c>
      <c r="D299">
        <v>1.2E-2</v>
      </c>
      <c r="E299">
        <v>3.4991806265749598E-55</v>
      </c>
      <c r="F299">
        <v>1</v>
      </c>
      <c r="G299" t="s">
        <v>896</v>
      </c>
      <c r="H299" t="s">
        <v>897</v>
      </c>
      <c r="I299" t="s">
        <v>896</v>
      </c>
      <c r="J299" s="1" t="str">
        <f>HYPERLINK("https://zfin.org/ZDB-GENE-030131-5448")</f>
        <v>https://zfin.org/ZDB-GENE-030131-5448</v>
      </c>
      <c r="K299" t="s">
        <v>898</v>
      </c>
    </row>
    <row r="300" spans="1:11" x14ac:dyDescent="0.2">
      <c r="A300">
        <v>2.42282687423476E-59</v>
      </c>
      <c r="B300">
        <v>0.38362404133655098</v>
      </c>
      <c r="C300">
        <v>0.29799999999999999</v>
      </c>
      <c r="D300">
        <v>1.2E-2</v>
      </c>
      <c r="E300">
        <v>3.7512628493776802E-55</v>
      </c>
      <c r="F300">
        <v>1</v>
      </c>
      <c r="G300" t="s">
        <v>899</v>
      </c>
      <c r="H300" t="s">
        <v>900</v>
      </c>
      <c r="I300" t="s">
        <v>899</v>
      </c>
      <c r="J300" s="1" t="str">
        <f>HYPERLINK("https://zfin.org/ZDB-GENE-141222-51")</f>
        <v>https://zfin.org/ZDB-GENE-141222-51</v>
      </c>
      <c r="K300" t="s">
        <v>901</v>
      </c>
    </row>
    <row r="301" spans="1:11" x14ac:dyDescent="0.2">
      <c r="A301">
        <v>4.1455730968958904E-59</v>
      </c>
      <c r="B301">
        <v>0.70196058265953398</v>
      </c>
      <c r="C301">
        <v>0.58799999999999997</v>
      </c>
      <c r="D301">
        <v>7.4999999999999997E-2</v>
      </c>
      <c r="E301">
        <v>6.4185908259239102E-55</v>
      </c>
      <c r="F301">
        <v>1</v>
      </c>
      <c r="G301" t="s">
        <v>902</v>
      </c>
      <c r="H301" t="s">
        <v>903</v>
      </c>
      <c r="I301" t="s">
        <v>902</v>
      </c>
      <c r="J301" s="1" t="str">
        <f>HYPERLINK("https://zfin.org/ZDB-GENE-070911-3")</f>
        <v>https://zfin.org/ZDB-GENE-070911-3</v>
      </c>
      <c r="K301" t="s">
        <v>904</v>
      </c>
    </row>
    <row r="302" spans="1:11" x14ac:dyDescent="0.2">
      <c r="A302">
        <v>9.0805927251110804E-59</v>
      </c>
      <c r="B302">
        <v>0.38463999687464601</v>
      </c>
      <c r="C302">
        <v>0.26300000000000001</v>
      </c>
      <c r="D302">
        <v>8.0000000000000002E-3</v>
      </c>
      <c r="E302">
        <v>1.40594817162895E-54</v>
      </c>
      <c r="F302">
        <v>1</v>
      </c>
      <c r="G302" t="s">
        <v>905</v>
      </c>
      <c r="H302" t="s">
        <v>906</v>
      </c>
      <c r="I302" t="s">
        <v>905</v>
      </c>
      <c r="J302" s="1" t="str">
        <f>HYPERLINK("https://zfin.org/ZDB-GENE-120711-2")</f>
        <v>https://zfin.org/ZDB-GENE-120711-2</v>
      </c>
      <c r="K302" t="s">
        <v>907</v>
      </c>
    </row>
    <row r="303" spans="1:11" x14ac:dyDescent="0.2">
      <c r="A303">
        <v>1.0576248176910101E-58</v>
      </c>
      <c r="B303">
        <v>0.28468941971704698</v>
      </c>
      <c r="C303">
        <v>0.20200000000000001</v>
      </c>
      <c r="D303">
        <v>1E-3</v>
      </c>
      <c r="E303">
        <v>1.6375205052309901E-54</v>
      </c>
      <c r="F303">
        <v>1</v>
      </c>
      <c r="G303" t="s">
        <v>908</v>
      </c>
      <c r="H303" t="s">
        <v>909</v>
      </c>
      <c r="I303" t="s">
        <v>908</v>
      </c>
      <c r="J303" s="1" t="str">
        <f>HYPERLINK("https://zfin.org/ZDB-GENE-090312-67")</f>
        <v>https://zfin.org/ZDB-GENE-090312-67</v>
      </c>
      <c r="K303" t="s">
        <v>910</v>
      </c>
    </row>
    <row r="304" spans="1:11" x14ac:dyDescent="0.2">
      <c r="A304">
        <v>1.10078981561121E-58</v>
      </c>
      <c r="B304">
        <v>0.35167472405901301</v>
      </c>
      <c r="C304">
        <v>0.246</v>
      </c>
      <c r="D304">
        <v>6.0000000000000001E-3</v>
      </c>
      <c r="E304">
        <v>1.7043528715108401E-54</v>
      </c>
      <c r="F304">
        <v>1</v>
      </c>
      <c r="G304" t="s">
        <v>911</v>
      </c>
      <c r="H304" t="s">
        <v>912</v>
      </c>
      <c r="I304" t="s">
        <v>911</v>
      </c>
      <c r="J304" s="1" t="str">
        <f>HYPERLINK("https://zfin.org/ZDB-GENE-060929-962")</f>
        <v>https://zfin.org/ZDB-GENE-060929-962</v>
      </c>
      <c r="K304" t="s">
        <v>913</v>
      </c>
    </row>
    <row r="305" spans="1:11" x14ac:dyDescent="0.2">
      <c r="A305">
        <v>1.67457804722289E-58</v>
      </c>
      <c r="B305">
        <v>-1.1922312959761401</v>
      </c>
      <c r="C305">
        <v>1</v>
      </c>
      <c r="D305">
        <v>0.99399999999999999</v>
      </c>
      <c r="E305">
        <v>2.5927491905152001E-54</v>
      </c>
      <c r="F305">
        <v>1</v>
      </c>
      <c r="G305" t="s">
        <v>914</v>
      </c>
      <c r="H305" t="s">
        <v>915</v>
      </c>
      <c r="I305" t="s">
        <v>914</v>
      </c>
      <c r="J305" s="1" t="str">
        <f>HYPERLINK("https://zfin.org/ZDB-GENE-030131-8663")</f>
        <v>https://zfin.org/ZDB-GENE-030131-8663</v>
      </c>
      <c r="K305" t="s">
        <v>916</v>
      </c>
    </row>
    <row r="306" spans="1:11" x14ac:dyDescent="0.2">
      <c r="A306">
        <v>1.7283599936045302E-58</v>
      </c>
      <c r="B306">
        <v>0.38012945957293098</v>
      </c>
      <c r="C306">
        <v>0.28899999999999998</v>
      </c>
      <c r="D306">
        <v>1.0999999999999999E-2</v>
      </c>
      <c r="E306">
        <v>2.6760197780978999E-54</v>
      </c>
      <c r="F306">
        <v>1</v>
      </c>
      <c r="G306" t="s">
        <v>917</v>
      </c>
      <c r="H306" t="s">
        <v>918</v>
      </c>
      <c r="I306" t="s">
        <v>917</v>
      </c>
      <c r="J306" s="1" t="str">
        <f>HYPERLINK("https://zfin.org/ZDB-GENE-060531-163")</f>
        <v>https://zfin.org/ZDB-GENE-060531-163</v>
      </c>
      <c r="K306" t="s">
        <v>919</v>
      </c>
    </row>
    <row r="307" spans="1:11" x14ac:dyDescent="0.2">
      <c r="A307">
        <v>1.9082759554784101E-58</v>
      </c>
      <c r="B307">
        <v>0.36657287225562502</v>
      </c>
      <c r="C307">
        <v>0.26300000000000001</v>
      </c>
      <c r="D307">
        <v>8.0000000000000002E-3</v>
      </c>
      <c r="E307">
        <v>2.95458366186722E-54</v>
      </c>
      <c r="F307">
        <v>1</v>
      </c>
      <c r="G307" t="s">
        <v>920</v>
      </c>
      <c r="H307" t="s">
        <v>921</v>
      </c>
      <c r="I307" t="s">
        <v>920</v>
      </c>
      <c r="J307" s="1" t="str">
        <f>HYPERLINK("https://zfin.org/ZDB-GENE-111116-1")</f>
        <v>https://zfin.org/ZDB-GENE-111116-1</v>
      </c>
      <c r="K307" t="s">
        <v>922</v>
      </c>
    </row>
    <row r="308" spans="1:11" x14ac:dyDescent="0.2">
      <c r="A308">
        <v>2.55936586187765E-58</v>
      </c>
      <c r="B308">
        <v>1.61444678641615</v>
      </c>
      <c r="C308">
        <v>0.99099999999999999</v>
      </c>
      <c r="D308">
        <v>0.59799999999999998</v>
      </c>
      <c r="E308">
        <v>3.9626661639451702E-54</v>
      </c>
      <c r="F308">
        <v>1</v>
      </c>
      <c r="G308" t="s">
        <v>923</v>
      </c>
      <c r="H308" t="s">
        <v>924</v>
      </c>
      <c r="I308" t="s">
        <v>923</v>
      </c>
      <c r="J308" s="1" t="str">
        <f>HYPERLINK("https://zfin.org/ZDB-GENE-030131-1226")</f>
        <v>https://zfin.org/ZDB-GENE-030131-1226</v>
      </c>
      <c r="K308" t="s">
        <v>925</v>
      </c>
    </row>
    <row r="309" spans="1:11" x14ac:dyDescent="0.2">
      <c r="A309">
        <v>3.2205663413129303E-58</v>
      </c>
      <c r="B309">
        <v>0.81961774070680504</v>
      </c>
      <c r="C309">
        <v>0.746</v>
      </c>
      <c r="D309">
        <v>0.13300000000000001</v>
      </c>
      <c r="E309">
        <v>4.98640286625482E-54</v>
      </c>
      <c r="F309">
        <v>1</v>
      </c>
      <c r="G309" t="s">
        <v>926</v>
      </c>
      <c r="H309" t="s">
        <v>927</v>
      </c>
      <c r="I309" t="s">
        <v>926</v>
      </c>
      <c r="J309" s="1" t="str">
        <f>HYPERLINK("https://zfin.org/ZDB-GENE-040426-1310")</f>
        <v>https://zfin.org/ZDB-GENE-040426-1310</v>
      </c>
      <c r="K309" t="s">
        <v>928</v>
      </c>
    </row>
    <row r="310" spans="1:11" x14ac:dyDescent="0.2">
      <c r="A310">
        <v>4.5818901248451701E-58</v>
      </c>
      <c r="B310">
        <v>0.349568611346742</v>
      </c>
      <c r="C310">
        <v>0.23699999999999999</v>
      </c>
      <c r="D310">
        <v>5.0000000000000001E-3</v>
      </c>
      <c r="E310">
        <v>7.0941404802977796E-54</v>
      </c>
      <c r="F310">
        <v>1</v>
      </c>
      <c r="G310" t="s">
        <v>929</v>
      </c>
      <c r="H310" t="s">
        <v>930</v>
      </c>
      <c r="I310" t="s">
        <v>929</v>
      </c>
      <c r="J310" s="1" t="str">
        <f>HYPERLINK("https://zfin.org/ZDB-GENE-030131-2438")</f>
        <v>https://zfin.org/ZDB-GENE-030131-2438</v>
      </c>
      <c r="K310" t="s">
        <v>931</v>
      </c>
    </row>
    <row r="311" spans="1:11" x14ac:dyDescent="0.2">
      <c r="A311">
        <v>5.3410229675408802E-58</v>
      </c>
      <c r="B311">
        <v>0.585325058619798</v>
      </c>
      <c r="C311">
        <v>0.5</v>
      </c>
      <c r="D311">
        <v>5.1999999999999998E-2</v>
      </c>
      <c r="E311">
        <v>8.2695058606435404E-54</v>
      </c>
      <c r="F311">
        <v>1</v>
      </c>
      <c r="G311" t="s">
        <v>932</v>
      </c>
      <c r="H311" t="s">
        <v>933</v>
      </c>
      <c r="I311" t="s">
        <v>932</v>
      </c>
      <c r="J311" s="1" t="str">
        <f>HYPERLINK("https://zfin.org/ZDB-GENE-041111-310")</f>
        <v>https://zfin.org/ZDB-GENE-041111-310</v>
      </c>
      <c r="K311" t="s">
        <v>934</v>
      </c>
    </row>
    <row r="312" spans="1:11" x14ac:dyDescent="0.2">
      <c r="A312">
        <v>5.8902507149861599E-58</v>
      </c>
      <c r="B312">
        <v>0.30308950232673698</v>
      </c>
      <c r="C312">
        <v>0.23699999999999999</v>
      </c>
      <c r="D312">
        <v>5.0000000000000001E-3</v>
      </c>
      <c r="E312">
        <v>9.1198751820130697E-54</v>
      </c>
      <c r="F312">
        <v>1</v>
      </c>
      <c r="G312" t="s">
        <v>935</v>
      </c>
      <c r="H312" t="s">
        <v>936</v>
      </c>
      <c r="I312" t="s">
        <v>935</v>
      </c>
      <c r="J312" s="1" t="str">
        <f>HYPERLINK("https://zfin.org/ZDB-GENE-121119-1")</f>
        <v>https://zfin.org/ZDB-GENE-121119-1</v>
      </c>
      <c r="K312" t="s">
        <v>937</v>
      </c>
    </row>
    <row r="313" spans="1:11" x14ac:dyDescent="0.2">
      <c r="A313">
        <v>1.09318124157654E-57</v>
      </c>
      <c r="B313">
        <v>0.52744342959688095</v>
      </c>
      <c r="C313">
        <v>0.43</v>
      </c>
      <c r="D313">
        <v>3.5999999999999997E-2</v>
      </c>
      <c r="E313">
        <v>1.69257251633295E-53</v>
      </c>
      <c r="F313">
        <v>1</v>
      </c>
      <c r="G313" t="s">
        <v>938</v>
      </c>
      <c r="H313" t="s">
        <v>939</v>
      </c>
      <c r="I313" t="s">
        <v>938</v>
      </c>
      <c r="J313" s="1" t="str">
        <f>HYPERLINK("https://zfin.org/ZDB-GENE-110411-177")</f>
        <v>https://zfin.org/ZDB-GENE-110411-177</v>
      </c>
      <c r="K313" t="s">
        <v>940</v>
      </c>
    </row>
    <row r="314" spans="1:11" x14ac:dyDescent="0.2">
      <c r="A314">
        <v>1.4125564467651099E-57</v>
      </c>
      <c r="B314">
        <v>0.73966557305848502</v>
      </c>
      <c r="C314">
        <v>0.64</v>
      </c>
      <c r="D314">
        <v>9.1999999999999998E-2</v>
      </c>
      <c r="E314">
        <v>2.1870611465264199E-53</v>
      </c>
      <c r="F314">
        <v>1</v>
      </c>
      <c r="G314" t="s">
        <v>941</v>
      </c>
      <c r="H314" t="s">
        <v>942</v>
      </c>
      <c r="I314" t="s">
        <v>941</v>
      </c>
      <c r="J314" s="1" t="str">
        <f>HYPERLINK("https://zfin.org/ZDB-GENE-030131-760")</f>
        <v>https://zfin.org/ZDB-GENE-030131-760</v>
      </c>
      <c r="K314" t="s">
        <v>943</v>
      </c>
    </row>
    <row r="315" spans="1:11" x14ac:dyDescent="0.2">
      <c r="A315">
        <v>2.12681357491677E-57</v>
      </c>
      <c r="B315">
        <v>0.65387991908954801</v>
      </c>
      <c r="C315">
        <v>0.64</v>
      </c>
      <c r="D315">
        <v>9.1999999999999998E-2</v>
      </c>
      <c r="E315">
        <v>3.29294545804363E-53</v>
      </c>
      <c r="F315">
        <v>1</v>
      </c>
      <c r="G315" t="s">
        <v>944</v>
      </c>
      <c r="H315" t="s">
        <v>945</v>
      </c>
      <c r="I315" t="s">
        <v>944</v>
      </c>
      <c r="J315" s="1" t="str">
        <f>HYPERLINK("https://zfin.org/ZDB-GENE-040426-1143")</f>
        <v>https://zfin.org/ZDB-GENE-040426-1143</v>
      </c>
      <c r="K315" t="s">
        <v>946</v>
      </c>
    </row>
    <row r="316" spans="1:11" x14ac:dyDescent="0.2">
      <c r="A316">
        <v>2.35799944226689E-57</v>
      </c>
      <c r="B316">
        <v>0.36718859406313298</v>
      </c>
      <c r="C316">
        <v>0.307</v>
      </c>
      <c r="D316">
        <v>1.4E-2</v>
      </c>
      <c r="E316">
        <v>3.6508905364618198E-53</v>
      </c>
      <c r="F316">
        <v>1</v>
      </c>
      <c r="G316" t="s">
        <v>947</v>
      </c>
      <c r="H316" t="s">
        <v>948</v>
      </c>
      <c r="I316" t="s">
        <v>947</v>
      </c>
      <c r="J316" s="1" t="str">
        <f>HYPERLINK("https://zfin.org/ZDB-GENE-120215-174")</f>
        <v>https://zfin.org/ZDB-GENE-120215-174</v>
      </c>
      <c r="K316" t="s">
        <v>949</v>
      </c>
    </row>
    <row r="317" spans="1:11" x14ac:dyDescent="0.2">
      <c r="A317">
        <v>5.3337000484465403E-57</v>
      </c>
      <c r="B317">
        <v>0.41726393225196001</v>
      </c>
      <c r="C317">
        <v>0.35099999999999998</v>
      </c>
      <c r="D317">
        <v>2.1000000000000001E-2</v>
      </c>
      <c r="E317">
        <v>8.2581677850097698E-53</v>
      </c>
      <c r="F317">
        <v>1</v>
      </c>
      <c r="G317" t="s">
        <v>950</v>
      </c>
      <c r="H317" t="s">
        <v>951</v>
      </c>
      <c r="I317" t="s">
        <v>950</v>
      </c>
      <c r="J317" s="1" t="str">
        <f>HYPERLINK("https://zfin.org/ZDB-GENE-050720-2")</f>
        <v>https://zfin.org/ZDB-GENE-050720-2</v>
      </c>
      <c r="K317" t="s">
        <v>952</v>
      </c>
    </row>
    <row r="318" spans="1:11" x14ac:dyDescent="0.2">
      <c r="A318">
        <v>6.9627454393300099E-57</v>
      </c>
      <c r="B318">
        <v>0.73857629271320402</v>
      </c>
      <c r="C318">
        <v>0.59599999999999997</v>
      </c>
      <c r="D318">
        <v>8.1000000000000003E-2</v>
      </c>
      <c r="E318">
        <v>1.07804187637146E-52</v>
      </c>
      <c r="F318">
        <v>1</v>
      </c>
      <c r="G318" t="s">
        <v>953</v>
      </c>
      <c r="H318" t="s">
        <v>954</v>
      </c>
      <c r="I318" t="s">
        <v>953</v>
      </c>
      <c r="J318" s="1" t="str">
        <f>HYPERLINK("https://zfin.org/ZDB-GENE-050208-437")</f>
        <v>https://zfin.org/ZDB-GENE-050208-437</v>
      </c>
      <c r="K318" t="s">
        <v>955</v>
      </c>
    </row>
    <row r="319" spans="1:11" x14ac:dyDescent="0.2">
      <c r="A319">
        <v>8.7973246604684798E-57</v>
      </c>
      <c r="B319">
        <v>0.38083930578792202</v>
      </c>
      <c r="C319">
        <v>0.26300000000000001</v>
      </c>
      <c r="D319">
        <v>8.9999999999999993E-3</v>
      </c>
      <c r="E319">
        <v>1.36208977718034E-52</v>
      </c>
      <c r="F319">
        <v>1</v>
      </c>
      <c r="G319" t="s">
        <v>956</v>
      </c>
      <c r="H319" t="s">
        <v>957</v>
      </c>
      <c r="I319" t="s">
        <v>956</v>
      </c>
      <c r="J319" s="1" t="str">
        <f>HYPERLINK("https://zfin.org/ZDB-GENE-061207-9")</f>
        <v>https://zfin.org/ZDB-GENE-061207-9</v>
      </c>
      <c r="K319" t="s">
        <v>958</v>
      </c>
    </row>
    <row r="320" spans="1:11" x14ac:dyDescent="0.2">
      <c r="A320">
        <v>1.0670179366710299E-56</v>
      </c>
      <c r="B320">
        <v>0.935805634452757</v>
      </c>
      <c r="C320">
        <v>0.83299999999999996</v>
      </c>
      <c r="D320">
        <v>0.182</v>
      </c>
      <c r="E320">
        <v>1.65206387134775E-52</v>
      </c>
      <c r="F320">
        <v>1</v>
      </c>
      <c r="G320" t="s">
        <v>959</v>
      </c>
      <c r="H320" t="s">
        <v>960</v>
      </c>
      <c r="I320" t="s">
        <v>959</v>
      </c>
      <c r="J320" s="1" t="str">
        <f>HYPERLINK("https://zfin.org/ZDB-GENE-040426-1650")</f>
        <v>https://zfin.org/ZDB-GENE-040426-1650</v>
      </c>
      <c r="K320" t="s">
        <v>961</v>
      </c>
    </row>
    <row r="321" spans="1:11" x14ac:dyDescent="0.2">
      <c r="A321">
        <v>1.8521566812018301E-56</v>
      </c>
      <c r="B321">
        <v>0.54611080830202097</v>
      </c>
      <c r="C321">
        <v>0.39500000000000002</v>
      </c>
      <c r="D321">
        <v>3.1E-2</v>
      </c>
      <c r="E321">
        <v>2.8676941895047901E-52</v>
      </c>
      <c r="F321">
        <v>1</v>
      </c>
      <c r="G321" t="s">
        <v>962</v>
      </c>
      <c r="H321" t="s">
        <v>963</v>
      </c>
      <c r="I321" t="s">
        <v>962</v>
      </c>
      <c r="J321" s="1" t="str">
        <f>HYPERLINK("https://zfin.org/ZDB-GENE-090313-269")</f>
        <v>https://zfin.org/ZDB-GENE-090313-269</v>
      </c>
      <c r="K321" t="s">
        <v>964</v>
      </c>
    </row>
    <row r="322" spans="1:11" x14ac:dyDescent="0.2">
      <c r="A322">
        <v>1.9185599649783199E-56</v>
      </c>
      <c r="B322">
        <v>0.37013186851160901</v>
      </c>
      <c r="C322">
        <v>0.21099999999999999</v>
      </c>
      <c r="D322">
        <v>3.0000000000000001E-3</v>
      </c>
      <c r="E322">
        <v>2.97050639377593E-52</v>
      </c>
      <c r="F322">
        <v>1</v>
      </c>
      <c r="G322" t="s">
        <v>965</v>
      </c>
      <c r="H322" t="s">
        <v>966</v>
      </c>
      <c r="I322" t="s">
        <v>965</v>
      </c>
      <c r="J322" s="1" t="str">
        <f>HYPERLINK("https://zfin.org/")</f>
        <v>https://zfin.org/</v>
      </c>
    </row>
    <row r="323" spans="1:11" x14ac:dyDescent="0.2">
      <c r="A323">
        <v>1.94096501077192E-56</v>
      </c>
      <c r="B323">
        <v>0.33497301960974002</v>
      </c>
      <c r="C323">
        <v>0.23699999999999999</v>
      </c>
      <c r="D323">
        <v>6.0000000000000001E-3</v>
      </c>
      <c r="E323">
        <v>3.0051961261781601E-52</v>
      </c>
      <c r="F323">
        <v>1</v>
      </c>
      <c r="G323" t="s">
        <v>967</v>
      </c>
      <c r="H323" t="s">
        <v>968</v>
      </c>
      <c r="I323" t="s">
        <v>967</v>
      </c>
      <c r="J323" s="1" t="str">
        <f>HYPERLINK("https://zfin.org/ZDB-GENE-081022-43")</f>
        <v>https://zfin.org/ZDB-GENE-081022-43</v>
      </c>
      <c r="K323" t="s">
        <v>969</v>
      </c>
    </row>
    <row r="324" spans="1:11" x14ac:dyDescent="0.2">
      <c r="A324">
        <v>4.0321049930150698E-56</v>
      </c>
      <c r="B324">
        <v>0.50728780078761304</v>
      </c>
      <c r="C324">
        <v>0.377</v>
      </c>
      <c r="D324">
        <v>2.7E-2</v>
      </c>
      <c r="E324">
        <v>6.2429081606852301E-52</v>
      </c>
      <c r="F324">
        <v>1</v>
      </c>
      <c r="G324" t="s">
        <v>970</v>
      </c>
      <c r="H324" t="s">
        <v>971</v>
      </c>
      <c r="I324" t="s">
        <v>970</v>
      </c>
      <c r="J324" s="1" t="str">
        <f>HYPERLINK("https://zfin.org/ZDB-GENE-070705-199")</f>
        <v>https://zfin.org/ZDB-GENE-070705-199</v>
      </c>
      <c r="K324" t="s">
        <v>972</v>
      </c>
    </row>
    <row r="325" spans="1:11" x14ac:dyDescent="0.2">
      <c r="A325">
        <v>4.0342802716014299E-56</v>
      </c>
      <c r="B325">
        <v>0.57406379689458598</v>
      </c>
      <c r="C325">
        <v>0.184</v>
      </c>
      <c r="D325">
        <v>1E-3</v>
      </c>
      <c r="E325">
        <v>6.2462761445204999E-52</v>
      </c>
      <c r="F325">
        <v>1</v>
      </c>
      <c r="G325" t="s">
        <v>973</v>
      </c>
      <c r="H325" t="s">
        <v>974</v>
      </c>
      <c r="I325" t="s">
        <v>973</v>
      </c>
      <c r="J325" s="1" t="str">
        <f>HYPERLINK("https://zfin.org/ZDB-GENE-131121-285")</f>
        <v>https://zfin.org/ZDB-GENE-131121-285</v>
      </c>
      <c r="K325" t="s">
        <v>975</v>
      </c>
    </row>
    <row r="326" spans="1:11" x14ac:dyDescent="0.2">
      <c r="A326">
        <v>4.1956705766654496E-56</v>
      </c>
      <c r="B326">
        <v>1.03734085504708</v>
      </c>
      <c r="C326">
        <v>0.90400000000000003</v>
      </c>
      <c r="D326">
        <v>0.23</v>
      </c>
      <c r="E326">
        <v>6.4961567538511103E-52</v>
      </c>
      <c r="F326">
        <v>1</v>
      </c>
      <c r="G326" t="s">
        <v>976</v>
      </c>
      <c r="H326" t="s">
        <v>977</v>
      </c>
      <c r="I326" t="s">
        <v>976</v>
      </c>
      <c r="J326" s="1" t="str">
        <f>HYPERLINK("https://zfin.org/ZDB-GENE-060331-97")</f>
        <v>https://zfin.org/ZDB-GENE-060331-97</v>
      </c>
      <c r="K326" t="s">
        <v>978</v>
      </c>
    </row>
    <row r="327" spans="1:11" x14ac:dyDescent="0.2">
      <c r="A327">
        <v>4.55579711045675E-56</v>
      </c>
      <c r="B327">
        <v>0.42774133267465098</v>
      </c>
      <c r="C327">
        <v>0.39500000000000002</v>
      </c>
      <c r="D327">
        <v>3.1E-2</v>
      </c>
      <c r="E327">
        <v>7.0537406661201904E-52</v>
      </c>
      <c r="F327">
        <v>1</v>
      </c>
      <c r="G327" t="s">
        <v>979</v>
      </c>
      <c r="H327" t="s">
        <v>980</v>
      </c>
      <c r="I327" t="s">
        <v>979</v>
      </c>
      <c r="J327" s="1" t="str">
        <f>HYPERLINK("https://zfin.org/ZDB-GENE-050616-1")</f>
        <v>https://zfin.org/ZDB-GENE-050616-1</v>
      </c>
      <c r="K327" t="s">
        <v>981</v>
      </c>
    </row>
    <row r="328" spans="1:11" x14ac:dyDescent="0.2">
      <c r="A328">
        <v>1.0078788855548001E-55</v>
      </c>
      <c r="B328">
        <v>0.50060642521309495</v>
      </c>
      <c r="C328">
        <v>0.45600000000000002</v>
      </c>
      <c r="D328">
        <v>4.3999999999999997E-2</v>
      </c>
      <c r="E328">
        <v>1.5604988785044999E-51</v>
      </c>
      <c r="F328">
        <v>1</v>
      </c>
      <c r="G328" t="s">
        <v>982</v>
      </c>
      <c r="H328" t="s">
        <v>983</v>
      </c>
      <c r="I328" t="s">
        <v>982</v>
      </c>
      <c r="J328" s="1" t="str">
        <f>HYPERLINK("https://zfin.org/ZDB-GENE-050113-1")</f>
        <v>https://zfin.org/ZDB-GENE-050113-1</v>
      </c>
      <c r="K328" t="s">
        <v>984</v>
      </c>
    </row>
    <row r="329" spans="1:11" x14ac:dyDescent="0.2">
      <c r="A329">
        <v>1.44782896948079E-55</v>
      </c>
      <c r="B329">
        <v>0.37055397209987201</v>
      </c>
      <c r="C329">
        <v>0.26300000000000001</v>
      </c>
      <c r="D329">
        <v>8.9999999999999993E-3</v>
      </c>
      <c r="E329">
        <v>2.2416735934471001E-51</v>
      </c>
      <c r="F329">
        <v>1</v>
      </c>
      <c r="G329" t="s">
        <v>985</v>
      </c>
      <c r="H329" t="s">
        <v>986</v>
      </c>
      <c r="I329" t="s">
        <v>985</v>
      </c>
      <c r="J329" s="1" t="str">
        <f>HYPERLINK("https://zfin.org/ZDB-GENE-030131-1582")</f>
        <v>https://zfin.org/ZDB-GENE-030131-1582</v>
      </c>
      <c r="K329" t="s">
        <v>987</v>
      </c>
    </row>
    <row r="330" spans="1:11" x14ac:dyDescent="0.2">
      <c r="A330">
        <v>1.68428930853605E-55</v>
      </c>
      <c r="B330">
        <v>1.3701626260198401</v>
      </c>
      <c r="C330">
        <v>0.99099999999999999</v>
      </c>
      <c r="D330">
        <v>0.63600000000000001</v>
      </c>
      <c r="E330">
        <v>2.6077851364063699E-51</v>
      </c>
      <c r="F330">
        <v>1</v>
      </c>
      <c r="G330" t="s">
        <v>988</v>
      </c>
      <c r="H330" t="s">
        <v>989</v>
      </c>
      <c r="I330" t="s">
        <v>988</v>
      </c>
      <c r="J330" s="1" t="str">
        <f>HYPERLINK("https://zfin.org/ZDB-GENE-030131-527")</f>
        <v>https://zfin.org/ZDB-GENE-030131-527</v>
      </c>
      <c r="K330" t="s">
        <v>990</v>
      </c>
    </row>
    <row r="331" spans="1:11" x14ac:dyDescent="0.2">
      <c r="A331">
        <v>3.7341266501482703E-55</v>
      </c>
      <c r="B331">
        <v>2.2356740503981301</v>
      </c>
      <c r="C331">
        <v>0.77200000000000002</v>
      </c>
      <c r="D331">
        <v>0.21299999999999999</v>
      </c>
      <c r="E331">
        <v>5.7815482924245705E-51</v>
      </c>
      <c r="F331">
        <v>1</v>
      </c>
      <c r="G331" t="s">
        <v>991</v>
      </c>
      <c r="H331" t="s">
        <v>992</v>
      </c>
      <c r="I331" t="s">
        <v>991</v>
      </c>
      <c r="J331" s="1" t="str">
        <f>HYPERLINK("https://zfin.org/ZDB-GENE-121214-253")</f>
        <v>https://zfin.org/ZDB-GENE-121214-253</v>
      </c>
      <c r="K331" t="s">
        <v>993</v>
      </c>
    </row>
    <row r="332" spans="1:11" x14ac:dyDescent="0.2">
      <c r="A332">
        <v>3.8069677792375897E-55</v>
      </c>
      <c r="B332">
        <v>0.51684496494423304</v>
      </c>
      <c r="C332">
        <v>0.38600000000000001</v>
      </c>
      <c r="D332">
        <v>0.03</v>
      </c>
      <c r="E332">
        <v>5.8943282125935603E-51</v>
      </c>
      <c r="F332">
        <v>1</v>
      </c>
      <c r="G332" t="s">
        <v>994</v>
      </c>
      <c r="H332" t="s">
        <v>995</v>
      </c>
      <c r="I332" t="s">
        <v>994</v>
      </c>
      <c r="J332" s="1" t="str">
        <f>HYPERLINK("https://zfin.org/ZDB-GENE-041114-88")</f>
        <v>https://zfin.org/ZDB-GENE-041114-88</v>
      </c>
      <c r="K332" t="s">
        <v>996</v>
      </c>
    </row>
    <row r="333" spans="1:11" x14ac:dyDescent="0.2">
      <c r="A333">
        <v>4.4546928081051403E-55</v>
      </c>
      <c r="B333">
        <v>1.23672265479043</v>
      </c>
      <c r="C333">
        <v>1</v>
      </c>
      <c r="D333">
        <v>0.84099999999999997</v>
      </c>
      <c r="E333">
        <v>6.8972008747891904E-51</v>
      </c>
      <c r="F333">
        <v>1</v>
      </c>
      <c r="G333" t="s">
        <v>997</v>
      </c>
      <c r="H333" t="s">
        <v>998</v>
      </c>
      <c r="I333" t="s">
        <v>997</v>
      </c>
      <c r="J333" s="1" t="str">
        <f>HYPERLINK("https://zfin.org/ZDB-GENE-030131-5590")</f>
        <v>https://zfin.org/ZDB-GENE-030131-5590</v>
      </c>
      <c r="K333" t="s">
        <v>999</v>
      </c>
    </row>
    <row r="334" spans="1:11" x14ac:dyDescent="0.2">
      <c r="A334">
        <v>7.9909942361682107E-55</v>
      </c>
      <c r="B334">
        <v>0.367888874424396</v>
      </c>
      <c r="C334">
        <v>0.27200000000000002</v>
      </c>
      <c r="D334">
        <v>1.0999999999999999E-2</v>
      </c>
      <c r="E334">
        <v>1.2372456375859199E-50</v>
      </c>
      <c r="F334">
        <v>1</v>
      </c>
      <c r="G334" t="s">
        <v>1000</v>
      </c>
      <c r="H334" t="s">
        <v>1001</v>
      </c>
      <c r="I334" t="s">
        <v>1000</v>
      </c>
      <c r="J334" s="1" t="str">
        <f>HYPERLINK("https://zfin.org/ZDB-GENE-040724-122")</f>
        <v>https://zfin.org/ZDB-GENE-040724-122</v>
      </c>
      <c r="K334" t="s">
        <v>1002</v>
      </c>
    </row>
    <row r="335" spans="1:11" x14ac:dyDescent="0.2">
      <c r="A335">
        <v>1.0293952078521899E-54</v>
      </c>
      <c r="B335">
        <v>0.414381062309996</v>
      </c>
      <c r="C335">
        <v>0.28899999999999998</v>
      </c>
      <c r="D335">
        <v>1.4E-2</v>
      </c>
      <c r="E335">
        <v>1.5938126003175399E-50</v>
      </c>
      <c r="F335">
        <v>1</v>
      </c>
      <c r="G335" t="s">
        <v>1003</v>
      </c>
      <c r="H335" t="s">
        <v>1004</v>
      </c>
      <c r="I335" t="s">
        <v>1003</v>
      </c>
      <c r="J335" s="1" t="str">
        <f>HYPERLINK("https://zfin.org/ZDB-GENE-061013-512")</f>
        <v>https://zfin.org/ZDB-GENE-061013-512</v>
      </c>
      <c r="K335" t="s">
        <v>1005</v>
      </c>
    </row>
    <row r="336" spans="1:11" x14ac:dyDescent="0.2">
      <c r="A336">
        <v>1.61475139753111E-54</v>
      </c>
      <c r="B336">
        <v>0.46214714249628502</v>
      </c>
      <c r="C336">
        <v>0.33300000000000002</v>
      </c>
      <c r="D336">
        <v>2.1000000000000001E-2</v>
      </c>
      <c r="E336">
        <v>2.50011958879742E-50</v>
      </c>
      <c r="F336">
        <v>1</v>
      </c>
      <c r="G336" t="s">
        <v>1006</v>
      </c>
      <c r="H336" t="s">
        <v>1007</v>
      </c>
      <c r="I336" t="s">
        <v>1006</v>
      </c>
      <c r="J336" s="1" t="str">
        <f>HYPERLINK("https://zfin.org/ZDB-GENE-030131-5409")</f>
        <v>https://zfin.org/ZDB-GENE-030131-5409</v>
      </c>
      <c r="K336" t="s">
        <v>1008</v>
      </c>
    </row>
    <row r="337" spans="1:11" x14ac:dyDescent="0.2">
      <c r="A337">
        <v>2.01833867147825E-54</v>
      </c>
      <c r="B337">
        <v>0.33229041979680302</v>
      </c>
      <c r="C337">
        <v>0.23699999999999999</v>
      </c>
      <c r="D337">
        <v>6.0000000000000001E-3</v>
      </c>
      <c r="E337">
        <v>3.12499376504977E-50</v>
      </c>
      <c r="F337">
        <v>1</v>
      </c>
      <c r="G337" t="s">
        <v>1009</v>
      </c>
      <c r="H337" t="s">
        <v>1010</v>
      </c>
      <c r="I337" t="s">
        <v>1009</v>
      </c>
      <c r="J337" s="1" t="str">
        <f>HYPERLINK("https://zfin.org/ZDB-GENE-120411-27")</f>
        <v>https://zfin.org/ZDB-GENE-120411-27</v>
      </c>
      <c r="K337" t="s">
        <v>1011</v>
      </c>
    </row>
    <row r="338" spans="1:11" x14ac:dyDescent="0.2">
      <c r="A338">
        <v>2.2402946423897199E-54</v>
      </c>
      <c r="B338">
        <v>0.941939280731666</v>
      </c>
      <c r="C338">
        <v>0.79800000000000004</v>
      </c>
      <c r="D338">
        <v>0.17499999999999999</v>
      </c>
      <c r="E338">
        <v>3.4686481948119999E-50</v>
      </c>
      <c r="F338">
        <v>1</v>
      </c>
      <c r="G338" t="s">
        <v>1012</v>
      </c>
      <c r="H338" t="s">
        <v>1013</v>
      </c>
      <c r="I338" t="s">
        <v>1012</v>
      </c>
      <c r="J338" s="1" t="str">
        <f>HYPERLINK("https://zfin.org/ZDB-GENE-030219-147")</f>
        <v>https://zfin.org/ZDB-GENE-030219-147</v>
      </c>
      <c r="K338" t="s">
        <v>1014</v>
      </c>
    </row>
    <row r="339" spans="1:11" x14ac:dyDescent="0.2">
      <c r="A339">
        <v>3.2925559833439802E-54</v>
      </c>
      <c r="B339">
        <v>-1.2762467648328599</v>
      </c>
      <c r="C339">
        <v>1</v>
      </c>
      <c r="D339">
        <v>1</v>
      </c>
      <c r="E339">
        <v>5.0978644290114798E-50</v>
      </c>
      <c r="F339">
        <v>1</v>
      </c>
      <c r="G339" t="s">
        <v>1015</v>
      </c>
      <c r="H339" t="s">
        <v>1016</v>
      </c>
      <c r="I339" t="s">
        <v>1015</v>
      </c>
      <c r="J339" s="1" t="str">
        <f>HYPERLINK("https://zfin.org/ZDB-GENE-141216-248")</f>
        <v>https://zfin.org/ZDB-GENE-141216-248</v>
      </c>
      <c r="K339" t="s">
        <v>1017</v>
      </c>
    </row>
    <row r="340" spans="1:11" x14ac:dyDescent="0.2">
      <c r="A340">
        <v>4.9143647497328499E-54</v>
      </c>
      <c r="B340">
        <v>0.74794996446319895</v>
      </c>
      <c r="C340">
        <v>0.76300000000000001</v>
      </c>
      <c r="D340">
        <v>0.13800000000000001</v>
      </c>
      <c r="E340">
        <v>7.6089109420113698E-50</v>
      </c>
      <c r="F340">
        <v>1</v>
      </c>
      <c r="G340" t="s">
        <v>1018</v>
      </c>
      <c r="H340" t="s">
        <v>1019</v>
      </c>
      <c r="I340" t="s">
        <v>1018</v>
      </c>
      <c r="J340" s="1" t="str">
        <f>HYPERLINK("https://zfin.org/ZDB-GENE-050417-175")</f>
        <v>https://zfin.org/ZDB-GENE-050417-175</v>
      </c>
      <c r="K340" t="s">
        <v>1020</v>
      </c>
    </row>
    <row r="341" spans="1:11" x14ac:dyDescent="0.2">
      <c r="A341">
        <v>6.1554716369676497E-54</v>
      </c>
      <c r="B341">
        <v>0.37913763642274401</v>
      </c>
      <c r="C341">
        <v>0.29799999999999999</v>
      </c>
      <c r="D341">
        <v>1.4999999999999999E-2</v>
      </c>
      <c r="E341">
        <v>9.5305167355170095E-50</v>
      </c>
      <c r="F341">
        <v>1</v>
      </c>
      <c r="G341" t="s">
        <v>1021</v>
      </c>
      <c r="H341" t="s">
        <v>1022</v>
      </c>
      <c r="I341" t="s">
        <v>1021</v>
      </c>
      <c r="J341" s="1" t="str">
        <f>HYPERLINK("https://zfin.org/ZDB-GENE-110411-102")</f>
        <v>https://zfin.org/ZDB-GENE-110411-102</v>
      </c>
      <c r="K341" t="s">
        <v>1023</v>
      </c>
    </row>
    <row r="342" spans="1:11" x14ac:dyDescent="0.2">
      <c r="A342">
        <v>6.7221787512000298E-54</v>
      </c>
      <c r="B342">
        <v>0.53681352578150499</v>
      </c>
      <c r="C342">
        <v>0.32500000000000001</v>
      </c>
      <c r="D342">
        <v>1.9E-2</v>
      </c>
      <c r="E342">
        <v>1.0407949360483001E-49</v>
      </c>
      <c r="F342">
        <v>1</v>
      </c>
      <c r="G342" t="s">
        <v>1024</v>
      </c>
      <c r="H342" t="s">
        <v>1025</v>
      </c>
      <c r="I342" t="s">
        <v>1024</v>
      </c>
      <c r="J342" s="1" t="str">
        <f>HYPERLINK("https://zfin.org/ZDB-GENE-130531-42")</f>
        <v>https://zfin.org/ZDB-GENE-130531-42</v>
      </c>
      <c r="K342" t="s">
        <v>1026</v>
      </c>
    </row>
    <row r="343" spans="1:11" x14ac:dyDescent="0.2">
      <c r="A343">
        <v>6.9269213141632202E-54</v>
      </c>
      <c r="B343">
        <v>0.62547637774295195</v>
      </c>
      <c r="C343">
        <v>0.53500000000000003</v>
      </c>
      <c r="D343">
        <v>6.7000000000000004E-2</v>
      </c>
      <c r="E343">
        <v>1.0724952270718899E-49</v>
      </c>
      <c r="F343">
        <v>1</v>
      </c>
      <c r="G343" t="s">
        <v>1027</v>
      </c>
      <c r="H343" t="s">
        <v>1028</v>
      </c>
      <c r="I343" t="s">
        <v>1027</v>
      </c>
      <c r="J343" s="1" t="str">
        <f>HYPERLINK("https://zfin.org/ZDB-GENE-040625-150")</f>
        <v>https://zfin.org/ZDB-GENE-040625-150</v>
      </c>
      <c r="K343" t="s">
        <v>1029</v>
      </c>
    </row>
    <row r="344" spans="1:11" x14ac:dyDescent="0.2">
      <c r="A344">
        <v>1.30758615345209E-53</v>
      </c>
      <c r="B344">
        <v>0.41766504577260199</v>
      </c>
      <c r="C344">
        <v>0.34200000000000003</v>
      </c>
      <c r="D344">
        <v>2.3E-2</v>
      </c>
      <c r="E344">
        <v>2.0245356413898798E-49</v>
      </c>
      <c r="F344">
        <v>1</v>
      </c>
      <c r="G344" t="s">
        <v>1030</v>
      </c>
      <c r="H344" t="s">
        <v>1031</v>
      </c>
      <c r="I344" t="s">
        <v>1030</v>
      </c>
      <c r="J344" s="1" t="str">
        <f>HYPERLINK("https://zfin.org/ZDB-GENE-041010-153")</f>
        <v>https://zfin.org/ZDB-GENE-041010-153</v>
      </c>
      <c r="K344" t="s">
        <v>1032</v>
      </c>
    </row>
    <row r="345" spans="1:11" x14ac:dyDescent="0.2">
      <c r="A345">
        <v>1.5409657421778101E-53</v>
      </c>
      <c r="B345">
        <v>0.25790404823721602</v>
      </c>
      <c r="C345">
        <v>0.16700000000000001</v>
      </c>
      <c r="D345">
        <v>0</v>
      </c>
      <c r="E345">
        <v>2.3858772586139099E-49</v>
      </c>
      <c r="F345">
        <v>1</v>
      </c>
      <c r="G345" t="s">
        <v>1033</v>
      </c>
      <c r="H345" t="s">
        <v>1034</v>
      </c>
      <c r="I345" t="s">
        <v>1033</v>
      </c>
      <c r="J345" s="1" t="str">
        <f>HYPERLINK("https://zfin.org/")</f>
        <v>https://zfin.org/</v>
      </c>
      <c r="K345" t="s">
        <v>1035</v>
      </c>
    </row>
    <row r="346" spans="1:11" x14ac:dyDescent="0.2">
      <c r="A346">
        <v>1.6917816797490099E-53</v>
      </c>
      <c r="B346">
        <v>0.33217861477523097</v>
      </c>
      <c r="C346">
        <v>0.193</v>
      </c>
      <c r="D346">
        <v>2E-3</v>
      </c>
      <c r="E346">
        <v>2.6193855747554001E-49</v>
      </c>
      <c r="F346">
        <v>1</v>
      </c>
      <c r="G346" t="s">
        <v>1036</v>
      </c>
      <c r="H346" t="s">
        <v>1037</v>
      </c>
      <c r="I346" t="s">
        <v>1036</v>
      </c>
      <c r="J346" s="1" t="str">
        <f>HYPERLINK("https://zfin.org/ZDB-GENE-020228-4")</f>
        <v>https://zfin.org/ZDB-GENE-020228-4</v>
      </c>
      <c r="K346" t="s">
        <v>1038</v>
      </c>
    </row>
    <row r="347" spans="1:11" x14ac:dyDescent="0.2">
      <c r="A347">
        <v>2.03907945343579E-53</v>
      </c>
      <c r="B347">
        <v>0.29807552186862701</v>
      </c>
      <c r="C347">
        <v>0.193</v>
      </c>
      <c r="D347">
        <v>2E-3</v>
      </c>
      <c r="E347">
        <v>3.1571067177546398E-49</v>
      </c>
      <c r="F347">
        <v>1</v>
      </c>
      <c r="G347" t="s">
        <v>1039</v>
      </c>
      <c r="H347" t="s">
        <v>1040</v>
      </c>
      <c r="I347" t="s">
        <v>1039</v>
      </c>
      <c r="J347" s="1" t="str">
        <f>HYPERLINK("https://zfin.org/ZDB-GENE-050419-11")</f>
        <v>https://zfin.org/ZDB-GENE-050419-11</v>
      </c>
      <c r="K347" t="s">
        <v>1041</v>
      </c>
    </row>
    <row r="348" spans="1:11" x14ac:dyDescent="0.2">
      <c r="A348">
        <v>2.04272153604563E-53</v>
      </c>
      <c r="B348">
        <v>0.27347342833168298</v>
      </c>
      <c r="C348">
        <v>0.184</v>
      </c>
      <c r="D348">
        <v>1E-3</v>
      </c>
      <c r="E348">
        <v>3.1627457542594499E-49</v>
      </c>
      <c r="F348">
        <v>1</v>
      </c>
      <c r="G348" t="s">
        <v>1042</v>
      </c>
      <c r="H348" t="s">
        <v>1043</v>
      </c>
      <c r="I348" t="s">
        <v>1042</v>
      </c>
      <c r="J348" s="1" t="str">
        <f>HYPERLINK("https://zfin.org/ZDB-GENE-080919-1")</f>
        <v>https://zfin.org/ZDB-GENE-080919-1</v>
      </c>
      <c r="K348" t="s">
        <v>1044</v>
      </c>
    </row>
    <row r="349" spans="1:11" x14ac:dyDescent="0.2">
      <c r="A349">
        <v>2.4254612535985499E-53</v>
      </c>
      <c r="B349">
        <v>0.290048079685291</v>
      </c>
      <c r="C349">
        <v>0.22800000000000001</v>
      </c>
      <c r="D349">
        <v>6.0000000000000001E-3</v>
      </c>
      <c r="E349">
        <v>3.7553416589466297E-49</v>
      </c>
      <c r="F349">
        <v>1</v>
      </c>
      <c r="G349" t="s">
        <v>1045</v>
      </c>
      <c r="H349" t="s">
        <v>1046</v>
      </c>
      <c r="I349" t="s">
        <v>1045</v>
      </c>
      <c r="J349" s="1" t="str">
        <f>HYPERLINK("https://zfin.org/ZDB-GENE-070912-489")</f>
        <v>https://zfin.org/ZDB-GENE-070912-489</v>
      </c>
      <c r="K349" t="s">
        <v>1047</v>
      </c>
    </row>
    <row r="350" spans="1:11" x14ac:dyDescent="0.2">
      <c r="A350">
        <v>2.6543344204662601E-53</v>
      </c>
      <c r="B350">
        <v>1.25958897745496</v>
      </c>
      <c r="C350">
        <v>0.96499999999999997</v>
      </c>
      <c r="D350">
        <v>0.47199999999999998</v>
      </c>
      <c r="E350">
        <v>4.10970598320791E-49</v>
      </c>
      <c r="F350">
        <v>1</v>
      </c>
      <c r="G350" t="s">
        <v>1048</v>
      </c>
      <c r="H350" t="s">
        <v>1049</v>
      </c>
      <c r="I350" t="s">
        <v>1048</v>
      </c>
      <c r="J350" s="1" t="str">
        <f>HYPERLINK("https://zfin.org/ZDB-GENE-050522-153")</f>
        <v>https://zfin.org/ZDB-GENE-050522-153</v>
      </c>
      <c r="K350" t="s">
        <v>1050</v>
      </c>
    </row>
    <row r="351" spans="1:11" x14ac:dyDescent="0.2">
      <c r="A351">
        <v>3.4512717875699299E-53</v>
      </c>
      <c r="B351">
        <v>0.68314124581110203</v>
      </c>
      <c r="C351">
        <v>0.77200000000000002</v>
      </c>
      <c r="D351">
        <v>0.14499999999999999</v>
      </c>
      <c r="E351">
        <v>5.3436041086945298E-49</v>
      </c>
      <c r="F351">
        <v>1</v>
      </c>
      <c r="G351" t="s">
        <v>1051</v>
      </c>
      <c r="H351" t="s">
        <v>1052</v>
      </c>
      <c r="I351" t="s">
        <v>1051</v>
      </c>
      <c r="J351" s="1" t="str">
        <f>HYPERLINK("https://zfin.org/ZDB-GENE-061025-1")</f>
        <v>https://zfin.org/ZDB-GENE-061025-1</v>
      </c>
      <c r="K351" t="s">
        <v>1053</v>
      </c>
    </row>
    <row r="352" spans="1:11" x14ac:dyDescent="0.2">
      <c r="A352">
        <v>4.2011584128434401E-53</v>
      </c>
      <c r="B352">
        <v>0.347309302486906</v>
      </c>
      <c r="C352">
        <v>0.28100000000000003</v>
      </c>
      <c r="D352">
        <v>1.2999999999999999E-2</v>
      </c>
      <c r="E352">
        <v>6.5046535706054997E-49</v>
      </c>
      <c r="F352">
        <v>1</v>
      </c>
      <c r="G352" t="s">
        <v>1054</v>
      </c>
      <c r="H352" t="s">
        <v>1055</v>
      </c>
      <c r="I352" t="s">
        <v>1054</v>
      </c>
      <c r="J352" s="1" t="str">
        <f>HYPERLINK("https://zfin.org/")</f>
        <v>https://zfin.org/</v>
      </c>
    </row>
    <row r="353" spans="1:11" x14ac:dyDescent="0.2">
      <c r="A353">
        <v>6.32224242419842E-53</v>
      </c>
      <c r="B353">
        <v>-1.8646507650648101</v>
      </c>
      <c r="C353">
        <v>0.55300000000000005</v>
      </c>
      <c r="D353">
        <v>0.94299999999999995</v>
      </c>
      <c r="E353">
        <v>9.7887279453864095E-49</v>
      </c>
      <c r="F353">
        <v>1</v>
      </c>
      <c r="G353" t="s">
        <v>1056</v>
      </c>
      <c r="H353" t="s">
        <v>1057</v>
      </c>
      <c r="I353" t="s">
        <v>1056</v>
      </c>
      <c r="J353" s="1" t="str">
        <f>HYPERLINK("https://zfin.org/ZDB-GENE-040426-2315")</f>
        <v>https://zfin.org/ZDB-GENE-040426-2315</v>
      </c>
      <c r="K353" t="s">
        <v>1058</v>
      </c>
    </row>
    <row r="354" spans="1:11" x14ac:dyDescent="0.2">
      <c r="A354">
        <v>9.3888727307086799E-53</v>
      </c>
      <c r="B354">
        <v>0.40331312958730903</v>
      </c>
      <c r="C354">
        <v>0.307</v>
      </c>
      <c r="D354">
        <v>1.7000000000000001E-2</v>
      </c>
      <c r="E354">
        <v>1.4536791648956199E-48</v>
      </c>
      <c r="F354">
        <v>1</v>
      </c>
      <c r="G354" t="s">
        <v>1059</v>
      </c>
      <c r="H354" t="s">
        <v>1060</v>
      </c>
      <c r="I354" t="s">
        <v>1059</v>
      </c>
      <c r="J354" s="1" t="str">
        <f>HYPERLINK("https://zfin.org/ZDB-GENE-050517-1")</f>
        <v>https://zfin.org/ZDB-GENE-050517-1</v>
      </c>
      <c r="K354" t="s">
        <v>1061</v>
      </c>
    </row>
    <row r="355" spans="1:11" x14ac:dyDescent="0.2">
      <c r="A355">
        <v>9.4035562641993709E-53</v>
      </c>
      <c r="B355">
        <v>0.31881325761962798</v>
      </c>
      <c r="C355">
        <v>0.28100000000000003</v>
      </c>
      <c r="D355">
        <v>1.2999999999999999E-2</v>
      </c>
      <c r="E355">
        <v>1.4559526163859899E-48</v>
      </c>
      <c r="F355">
        <v>1</v>
      </c>
      <c r="G355" t="s">
        <v>1062</v>
      </c>
      <c r="H355" t="s">
        <v>1063</v>
      </c>
      <c r="I355" t="s">
        <v>1062</v>
      </c>
      <c r="J355" s="1" t="str">
        <f>HYPERLINK("https://zfin.org/ZDB-GENE-090311-24")</f>
        <v>https://zfin.org/ZDB-GENE-090311-24</v>
      </c>
      <c r="K355" t="s">
        <v>1064</v>
      </c>
    </row>
    <row r="356" spans="1:11" x14ac:dyDescent="0.2">
      <c r="A356">
        <v>1.4039926798266501E-52</v>
      </c>
      <c r="B356">
        <v>-1.20464866790433</v>
      </c>
      <c r="C356">
        <v>0.95599999999999996</v>
      </c>
      <c r="D356">
        <v>0.96899999999999997</v>
      </c>
      <c r="E356">
        <v>2.1738018661756001E-48</v>
      </c>
      <c r="F356">
        <v>1</v>
      </c>
      <c r="G356" t="s">
        <v>1065</v>
      </c>
      <c r="H356" t="s">
        <v>1066</v>
      </c>
      <c r="I356" t="s">
        <v>1065</v>
      </c>
      <c r="J356" s="1" t="str">
        <f>HYPERLINK("https://zfin.org/ZDB-GENE-020419-25")</f>
        <v>https://zfin.org/ZDB-GENE-020419-25</v>
      </c>
      <c r="K356" t="s">
        <v>1067</v>
      </c>
    </row>
    <row r="357" spans="1:11" x14ac:dyDescent="0.2">
      <c r="A357">
        <v>1.5817120492941301E-52</v>
      </c>
      <c r="B357">
        <v>0.46843390190613199</v>
      </c>
      <c r="C357">
        <v>0.41199999999999998</v>
      </c>
      <c r="D357">
        <v>3.7999999999999999E-2</v>
      </c>
      <c r="E357">
        <v>2.4489647659220999E-48</v>
      </c>
      <c r="F357">
        <v>1</v>
      </c>
      <c r="G357" t="s">
        <v>1068</v>
      </c>
      <c r="H357" t="s">
        <v>1069</v>
      </c>
      <c r="I357" t="s">
        <v>1068</v>
      </c>
      <c r="J357" s="1" t="str">
        <f>HYPERLINK("https://zfin.org/ZDB-GENE-030131-1986")</f>
        <v>https://zfin.org/ZDB-GENE-030131-1986</v>
      </c>
      <c r="K357" t="s">
        <v>1070</v>
      </c>
    </row>
    <row r="358" spans="1:11" x14ac:dyDescent="0.2">
      <c r="A358">
        <v>3.7605438762128599E-52</v>
      </c>
      <c r="B358">
        <v>-1.35351213720174</v>
      </c>
      <c r="C358">
        <v>0.93899999999999995</v>
      </c>
      <c r="D358">
        <v>0.97099999999999997</v>
      </c>
      <c r="E358">
        <v>5.8224500835403799E-48</v>
      </c>
      <c r="F358">
        <v>1</v>
      </c>
      <c r="G358" t="s">
        <v>1071</v>
      </c>
      <c r="H358" t="s">
        <v>1072</v>
      </c>
      <c r="I358" t="s">
        <v>1071</v>
      </c>
      <c r="J358" s="1" t="str">
        <f>HYPERLINK("https://zfin.org/ZDB-GENE-070327-2")</f>
        <v>https://zfin.org/ZDB-GENE-070327-2</v>
      </c>
      <c r="K358" t="s">
        <v>1073</v>
      </c>
    </row>
    <row r="359" spans="1:11" x14ac:dyDescent="0.2">
      <c r="A359">
        <v>3.8147448724566398E-52</v>
      </c>
      <c r="B359">
        <v>0.49766350668819598</v>
      </c>
      <c r="C359">
        <v>0.439</v>
      </c>
      <c r="D359">
        <v>4.2999999999999997E-2</v>
      </c>
      <c r="E359">
        <v>5.9063694860246202E-48</v>
      </c>
      <c r="F359">
        <v>1</v>
      </c>
      <c r="G359" t="s">
        <v>1074</v>
      </c>
      <c r="H359" t="s">
        <v>1075</v>
      </c>
      <c r="I359" t="s">
        <v>1074</v>
      </c>
      <c r="J359" s="1" t="str">
        <f>HYPERLINK("https://zfin.org/ZDB-GENE-040718-280")</f>
        <v>https://zfin.org/ZDB-GENE-040718-280</v>
      </c>
      <c r="K359" t="s">
        <v>1076</v>
      </c>
    </row>
    <row r="360" spans="1:11" x14ac:dyDescent="0.2">
      <c r="A360">
        <v>4.50565193412616E-52</v>
      </c>
      <c r="B360">
        <v>0.74718738717998501</v>
      </c>
      <c r="C360">
        <v>0.66700000000000004</v>
      </c>
      <c r="D360">
        <v>0.112</v>
      </c>
      <c r="E360">
        <v>6.9761008896075298E-48</v>
      </c>
      <c r="F360">
        <v>1</v>
      </c>
      <c r="G360" t="s">
        <v>1077</v>
      </c>
      <c r="H360" t="s">
        <v>1078</v>
      </c>
      <c r="I360" t="s">
        <v>1077</v>
      </c>
      <c r="J360" s="1" t="str">
        <f>HYPERLINK("https://zfin.org/ZDB-GENE-050522-323")</f>
        <v>https://zfin.org/ZDB-GENE-050522-323</v>
      </c>
      <c r="K360" t="s">
        <v>1079</v>
      </c>
    </row>
    <row r="361" spans="1:11" x14ac:dyDescent="0.2">
      <c r="A361">
        <v>7.0012641123517802E-52</v>
      </c>
      <c r="B361">
        <v>0.40475589717452398</v>
      </c>
      <c r="C361">
        <v>0.33300000000000002</v>
      </c>
      <c r="D361">
        <v>2.1999999999999999E-2</v>
      </c>
      <c r="E361">
        <v>1.08400572251543E-47</v>
      </c>
      <c r="F361">
        <v>1</v>
      </c>
      <c r="G361" t="s">
        <v>1080</v>
      </c>
      <c r="H361" t="s">
        <v>1081</v>
      </c>
      <c r="I361" t="s">
        <v>1080</v>
      </c>
      <c r="J361" s="1" t="str">
        <f>HYPERLINK("https://zfin.org/ZDB-GENE-040914-40")</f>
        <v>https://zfin.org/ZDB-GENE-040914-40</v>
      </c>
      <c r="K361" t="s">
        <v>1082</v>
      </c>
    </row>
    <row r="362" spans="1:11" x14ac:dyDescent="0.2">
      <c r="A362">
        <v>8.0020785915544099E-52</v>
      </c>
      <c r="B362">
        <v>0.38174714065839799</v>
      </c>
      <c r="C362">
        <v>0.316</v>
      </c>
      <c r="D362">
        <v>1.9E-2</v>
      </c>
      <c r="E362">
        <v>1.23896182833037E-47</v>
      </c>
      <c r="F362">
        <v>1</v>
      </c>
      <c r="G362" t="s">
        <v>1083</v>
      </c>
      <c r="H362" t="s">
        <v>1084</v>
      </c>
      <c r="I362" t="s">
        <v>1083</v>
      </c>
      <c r="J362" s="1" t="str">
        <f>HYPERLINK("https://zfin.org/ZDB-GENE-040426-995")</f>
        <v>https://zfin.org/ZDB-GENE-040426-995</v>
      </c>
      <c r="K362" t="s">
        <v>1085</v>
      </c>
    </row>
    <row r="363" spans="1:11" x14ac:dyDescent="0.2">
      <c r="A363">
        <v>1.30135736345935E-51</v>
      </c>
      <c r="B363">
        <v>0.29287274041424</v>
      </c>
      <c r="C363">
        <v>0.20200000000000001</v>
      </c>
      <c r="D363">
        <v>4.0000000000000001E-3</v>
      </c>
      <c r="E363">
        <v>2.0148916058441099E-47</v>
      </c>
      <c r="F363">
        <v>1</v>
      </c>
      <c r="G363" t="s">
        <v>1086</v>
      </c>
      <c r="H363" t="s">
        <v>1087</v>
      </c>
      <c r="I363" t="s">
        <v>1086</v>
      </c>
      <c r="J363" s="1" t="str">
        <f>HYPERLINK("https://zfin.org/ZDB-GENE-041015-747")</f>
        <v>https://zfin.org/ZDB-GENE-041015-747</v>
      </c>
      <c r="K363" t="s">
        <v>1088</v>
      </c>
    </row>
    <row r="364" spans="1:11" x14ac:dyDescent="0.2">
      <c r="A364">
        <v>1.5746293805161999E-51</v>
      </c>
      <c r="B364">
        <v>0.31456348012664098</v>
      </c>
      <c r="C364">
        <v>0.28100000000000003</v>
      </c>
      <c r="D364">
        <v>1.4E-2</v>
      </c>
      <c r="E364">
        <v>2.4379986698532298E-47</v>
      </c>
      <c r="F364">
        <v>1</v>
      </c>
      <c r="G364" t="s">
        <v>1089</v>
      </c>
      <c r="H364" t="s">
        <v>1090</v>
      </c>
      <c r="I364" t="s">
        <v>1089</v>
      </c>
      <c r="J364" s="1" t="str">
        <f>HYPERLINK("https://zfin.org/ZDB-GENE-030131-7437")</f>
        <v>https://zfin.org/ZDB-GENE-030131-7437</v>
      </c>
      <c r="K364" t="s">
        <v>1091</v>
      </c>
    </row>
    <row r="365" spans="1:11" x14ac:dyDescent="0.2">
      <c r="A365">
        <v>2.41026161782557E-51</v>
      </c>
      <c r="B365">
        <v>1.2009758915544499</v>
      </c>
      <c r="C365">
        <v>1</v>
      </c>
      <c r="D365">
        <v>0.96899999999999997</v>
      </c>
      <c r="E365">
        <v>3.7318080628793202E-47</v>
      </c>
      <c r="F365">
        <v>1</v>
      </c>
      <c r="G365" t="s">
        <v>1092</v>
      </c>
      <c r="H365" t="s">
        <v>1093</v>
      </c>
      <c r="I365" t="s">
        <v>1092</v>
      </c>
      <c r="J365" s="1" t="str">
        <f>HYPERLINK("https://zfin.org/ZDB-GENE-040718-72")</f>
        <v>https://zfin.org/ZDB-GENE-040718-72</v>
      </c>
      <c r="K365" t="s">
        <v>1094</v>
      </c>
    </row>
    <row r="366" spans="1:11" x14ac:dyDescent="0.2">
      <c r="A366">
        <v>3.2264374847097201E-51</v>
      </c>
      <c r="B366">
        <v>0.31648522429083997</v>
      </c>
      <c r="C366">
        <v>0.26300000000000001</v>
      </c>
      <c r="D366">
        <v>1.0999999999999999E-2</v>
      </c>
      <c r="E366">
        <v>4.9954931575760602E-47</v>
      </c>
      <c r="F366">
        <v>1</v>
      </c>
      <c r="G366" t="s">
        <v>1095</v>
      </c>
      <c r="H366" t="s">
        <v>1096</v>
      </c>
      <c r="I366" t="s">
        <v>1095</v>
      </c>
      <c r="J366" s="1" t="str">
        <f>HYPERLINK("https://zfin.org/ZDB-GENE-101001-4")</f>
        <v>https://zfin.org/ZDB-GENE-101001-4</v>
      </c>
      <c r="K366" t="s">
        <v>1097</v>
      </c>
    </row>
    <row r="367" spans="1:11" x14ac:dyDescent="0.2">
      <c r="A367">
        <v>3.7291831086967702E-51</v>
      </c>
      <c r="B367">
        <v>0.43400914189939799</v>
      </c>
      <c r="C367">
        <v>0.32500000000000001</v>
      </c>
      <c r="D367">
        <v>2.1000000000000001E-2</v>
      </c>
      <c r="E367">
        <v>5.7738942071952103E-47</v>
      </c>
      <c r="F367">
        <v>1</v>
      </c>
      <c r="G367" t="s">
        <v>1098</v>
      </c>
      <c r="H367" t="s">
        <v>1099</v>
      </c>
      <c r="I367" t="s">
        <v>1098</v>
      </c>
      <c r="J367" s="1" t="str">
        <f>HYPERLINK("https://zfin.org/ZDB-GENE-060531-130")</f>
        <v>https://zfin.org/ZDB-GENE-060531-130</v>
      </c>
      <c r="K367" t="s">
        <v>1100</v>
      </c>
    </row>
    <row r="368" spans="1:11" x14ac:dyDescent="0.2">
      <c r="A368">
        <v>3.82214917295756E-51</v>
      </c>
      <c r="B368">
        <v>0.55509098881089203</v>
      </c>
      <c r="C368">
        <v>0.26300000000000001</v>
      </c>
      <c r="D368">
        <v>1.0999999999999999E-2</v>
      </c>
      <c r="E368">
        <v>5.9178335644901899E-47</v>
      </c>
      <c r="F368">
        <v>1</v>
      </c>
      <c r="G368" t="s">
        <v>1101</v>
      </c>
      <c r="H368" t="s">
        <v>1102</v>
      </c>
      <c r="I368" t="s">
        <v>1101</v>
      </c>
      <c r="J368" s="1" t="str">
        <f>HYPERLINK("https://zfin.org/ZDB-GENE-030131-8538")</f>
        <v>https://zfin.org/ZDB-GENE-030131-8538</v>
      </c>
      <c r="K368" t="s">
        <v>1103</v>
      </c>
    </row>
    <row r="369" spans="1:11" x14ac:dyDescent="0.2">
      <c r="A369">
        <v>4.0142268826934101E-51</v>
      </c>
      <c r="B369">
        <v>1.35154423722711</v>
      </c>
      <c r="C369">
        <v>0.93</v>
      </c>
      <c r="D369">
        <v>0.39200000000000002</v>
      </c>
      <c r="E369">
        <v>6.2152274824742098E-47</v>
      </c>
      <c r="F369">
        <v>1</v>
      </c>
      <c r="G369" t="s">
        <v>1104</v>
      </c>
      <c r="H369" t="s">
        <v>1105</v>
      </c>
      <c r="I369" t="s">
        <v>1104</v>
      </c>
      <c r="J369" s="1" t="str">
        <f>HYPERLINK("https://zfin.org/ZDB-GENE-041114-67")</f>
        <v>https://zfin.org/ZDB-GENE-041114-67</v>
      </c>
      <c r="K369" t="s">
        <v>1106</v>
      </c>
    </row>
    <row r="370" spans="1:11" x14ac:dyDescent="0.2">
      <c r="A370">
        <v>6.0940565906791798E-51</v>
      </c>
      <c r="B370">
        <v>0.347097965520406</v>
      </c>
      <c r="C370">
        <v>0.23699999999999999</v>
      </c>
      <c r="D370">
        <v>8.0000000000000002E-3</v>
      </c>
      <c r="E370">
        <v>9.4354278193485693E-47</v>
      </c>
      <c r="F370">
        <v>1</v>
      </c>
      <c r="G370" t="s">
        <v>1107</v>
      </c>
      <c r="H370" t="s">
        <v>1108</v>
      </c>
      <c r="I370" t="s">
        <v>1107</v>
      </c>
      <c r="J370" s="1" t="str">
        <f>HYPERLINK("https://zfin.org/ZDB-GENE-040827-2")</f>
        <v>https://zfin.org/ZDB-GENE-040827-2</v>
      </c>
      <c r="K370" t="s">
        <v>1109</v>
      </c>
    </row>
    <row r="371" spans="1:11" x14ac:dyDescent="0.2">
      <c r="A371">
        <v>6.4826621331215605E-51</v>
      </c>
      <c r="B371">
        <v>0.330578099414299</v>
      </c>
      <c r="C371">
        <v>0.23699999999999999</v>
      </c>
      <c r="D371">
        <v>8.0000000000000002E-3</v>
      </c>
      <c r="E371">
        <v>1.0037105780712099E-46</v>
      </c>
      <c r="F371">
        <v>1</v>
      </c>
      <c r="G371" t="s">
        <v>1110</v>
      </c>
      <c r="H371" t="s">
        <v>1111</v>
      </c>
      <c r="I371" t="s">
        <v>1110</v>
      </c>
      <c r="J371" s="1" t="str">
        <f>HYPERLINK("https://zfin.org/ZDB-GENE-000710-2")</f>
        <v>https://zfin.org/ZDB-GENE-000710-2</v>
      </c>
      <c r="K371" t="s">
        <v>1112</v>
      </c>
    </row>
    <row r="372" spans="1:11" x14ac:dyDescent="0.2">
      <c r="A372">
        <v>6.9562696579507104E-51</v>
      </c>
      <c r="B372">
        <v>0.50603672229701002</v>
      </c>
      <c r="C372">
        <v>0.439</v>
      </c>
      <c r="D372">
        <v>4.4999999999999998E-2</v>
      </c>
      <c r="E372">
        <v>1.0770392311405101E-46</v>
      </c>
      <c r="F372">
        <v>1</v>
      </c>
      <c r="G372" t="s">
        <v>1113</v>
      </c>
      <c r="H372" t="s">
        <v>1114</v>
      </c>
      <c r="I372" t="s">
        <v>1113</v>
      </c>
      <c r="J372" s="1" t="str">
        <f>HYPERLINK("https://zfin.org/ZDB-GENE-040625-74")</f>
        <v>https://zfin.org/ZDB-GENE-040625-74</v>
      </c>
      <c r="K372" t="s">
        <v>1115</v>
      </c>
    </row>
    <row r="373" spans="1:11" x14ac:dyDescent="0.2">
      <c r="A373">
        <v>7.8578622452056306E-51</v>
      </c>
      <c r="B373">
        <v>0.50727881389410201</v>
      </c>
      <c r="C373">
        <v>0.377</v>
      </c>
      <c r="D373">
        <v>3.3000000000000002E-2</v>
      </c>
      <c r="E373">
        <v>1.2166328114251901E-46</v>
      </c>
      <c r="F373">
        <v>1</v>
      </c>
      <c r="G373" t="s">
        <v>1116</v>
      </c>
      <c r="H373" t="s">
        <v>1117</v>
      </c>
      <c r="I373" t="s">
        <v>1116</v>
      </c>
      <c r="J373" s="1" t="str">
        <f>HYPERLINK("https://zfin.org/ZDB-GENE-040724-235")</f>
        <v>https://zfin.org/ZDB-GENE-040724-235</v>
      </c>
      <c r="K373" t="s">
        <v>1118</v>
      </c>
    </row>
    <row r="374" spans="1:11" x14ac:dyDescent="0.2">
      <c r="A374">
        <v>8.2190127414024206E-51</v>
      </c>
      <c r="B374">
        <v>1.11024901184967</v>
      </c>
      <c r="C374">
        <v>0.99099999999999999</v>
      </c>
      <c r="D374">
        <v>0.58499999999999996</v>
      </c>
      <c r="E374">
        <v>1.2725497427513399E-46</v>
      </c>
      <c r="F374">
        <v>1</v>
      </c>
      <c r="G374" t="s">
        <v>1119</v>
      </c>
      <c r="H374" t="s">
        <v>1120</v>
      </c>
      <c r="I374" t="s">
        <v>1119</v>
      </c>
      <c r="J374" s="1" t="str">
        <f>HYPERLINK("https://zfin.org/ZDB-GENE-030723-2")</f>
        <v>https://zfin.org/ZDB-GENE-030723-2</v>
      </c>
      <c r="K374" t="s">
        <v>1121</v>
      </c>
    </row>
    <row r="375" spans="1:11" x14ac:dyDescent="0.2">
      <c r="A375">
        <v>1.1537696992511299E-50</v>
      </c>
      <c r="B375">
        <v>0.93012881263591796</v>
      </c>
      <c r="C375">
        <v>0.90400000000000003</v>
      </c>
      <c r="D375">
        <v>0.27</v>
      </c>
      <c r="E375">
        <v>1.7863816253505299E-46</v>
      </c>
      <c r="F375">
        <v>1</v>
      </c>
      <c r="G375" t="s">
        <v>1122</v>
      </c>
      <c r="H375" t="s">
        <v>1123</v>
      </c>
      <c r="I375" t="s">
        <v>1122</v>
      </c>
      <c r="J375" s="1" t="str">
        <f>HYPERLINK("https://zfin.org/ZDB-GENE-040426-1087")</f>
        <v>https://zfin.org/ZDB-GENE-040426-1087</v>
      </c>
      <c r="K375" t="s">
        <v>1124</v>
      </c>
    </row>
    <row r="376" spans="1:11" x14ac:dyDescent="0.2">
      <c r="A376">
        <v>1.4010881519184899E-50</v>
      </c>
      <c r="B376">
        <v>0.37180119164263398</v>
      </c>
      <c r="C376">
        <v>0.246</v>
      </c>
      <c r="D376">
        <v>8.9999999999999993E-3</v>
      </c>
      <c r="E376">
        <v>2.1693047856153998E-46</v>
      </c>
      <c r="F376">
        <v>1</v>
      </c>
      <c r="G376" t="s">
        <v>1125</v>
      </c>
      <c r="H376" t="s">
        <v>1126</v>
      </c>
      <c r="I376" t="s">
        <v>1125</v>
      </c>
      <c r="J376" s="1" t="str">
        <f>HYPERLINK("https://zfin.org/ZDB-GENE-050522-267")</f>
        <v>https://zfin.org/ZDB-GENE-050522-267</v>
      </c>
      <c r="K376" t="s">
        <v>1127</v>
      </c>
    </row>
    <row r="377" spans="1:11" x14ac:dyDescent="0.2">
      <c r="A377">
        <v>1.69976529367743E-50</v>
      </c>
      <c r="B377">
        <v>0.28687198451719298</v>
      </c>
      <c r="C377">
        <v>0.17499999999999999</v>
      </c>
      <c r="D377">
        <v>1E-3</v>
      </c>
      <c r="E377">
        <v>2.6317466042007599E-46</v>
      </c>
      <c r="F377">
        <v>1</v>
      </c>
      <c r="G377" t="s">
        <v>1128</v>
      </c>
      <c r="H377" t="s">
        <v>1129</v>
      </c>
      <c r="I377" t="s">
        <v>1128</v>
      </c>
      <c r="J377" s="1" t="str">
        <f>HYPERLINK("https://zfin.org/ZDB-GENE-090601-1")</f>
        <v>https://zfin.org/ZDB-GENE-090601-1</v>
      </c>
      <c r="K377" t="s">
        <v>1130</v>
      </c>
    </row>
    <row r="378" spans="1:11" x14ac:dyDescent="0.2">
      <c r="A378">
        <v>4.9570096687478697E-50</v>
      </c>
      <c r="B378">
        <v>-0.97705684955218297</v>
      </c>
      <c r="C378">
        <v>1</v>
      </c>
      <c r="D378">
        <v>0.99199999999999999</v>
      </c>
      <c r="E378">
        <v>7.6749380701223293E-46</v>
      </c>
      <c r="F378">
        <v>1</v>
      </c>
      <c r="G378" t="s">
        <v>1131</v>
      </c>
      <c r="H378" t="s">
        <v>1132</v>
      </c>
      <c r="I378" t="s">
        <v>1131</v>
      </c>
      <c r="J378" s="1" t="str">
        <f>HYPERLINK("https://zfin.org/ZDB-GENE-040625-147")</f>
        <v>https://zfin.org/ZDB-GENE-040625-147</v>
      </c>
      <c r="K378" t="s">
        <v>1133</v>
      </c>
    </row>
    <row r="379" spans="1:11" x14ac:dyDescent="0.2">
      <c r="A379">
        <v>4.9998737358864302E-50</v>
      </c>
      <c r="B379">
        <v>0.32916451928767099</v>
      </c>
      <c r="C379">
        <v>0.22800000000000001</v>
      </c>
      <c r="D379">
        <v>7.0000000000000001E-3</v>
      </c>
      <c r="E379">
        <v>7.7413045052729705E-46</v>
      </c>
      <c r="F379">
        <v>1</v>
      </c>
      <c r="G379" t="s">
        <v>1134</v>
      </c>
      <c r="H379" t="s">
        <v>1135</v>
      </c>
      <c r="I379" t="s">
        <v>1134</v>
      </c>
      <c r="J379" s="1" t="str">
        <f>HYPERLINK("https://zfin.org/ZDB-GENE-051113-296")</f>
        <v>https://zfin.org/ZDB-GENE-051113-296</v>
      </c>
      <c r="K379" t="s">
        <v>1136</v>
      </c>
    </row>
    <row r="380" spans="1:11" x14ac:dyDescent="0.2">
      <c r="A380">
        <v>5.5585857811980904E-50</v>
      </c>
      <c r="B380">
        <v>0.52263799760170904</v>
      </c>
      <c r="C380">
        <v>0.40400000000000003</v>
      </c>
      <c r="D380">
        <v>3.7999999999999999E-2</v>
      </c>
      <c r="E380">
        <v>8.6063583650290001E-46</v>
      </c>
      <c r="F380">
        <v>1</v>
      </c>
      <c r="G380" t="s">
        <v>1137</v>
      </c>
      <c r="H380" t="s">
        <v>1138</v>
      </c>
      <c r="I380" t="s">
        <v>1137</v>
      </c>
      <c r="J380" s="1" t="str">
        <f>HYPERLINK("https://zfin.org/ZDB-GENE-030410-2")</f>
        <v>https://zfin.org/ZDB-GENE-030410-2</v>
      </c>
      <c r="K380" t="s">
        <v>1139</v>
      </c>
    </row>
    <row r="381" spans="1:11" x14ac:dyDescent="0.2">
      <c r="A381">
        <v>1.61130015600386E-49</v>
      </c>
      <c r="B381">
        <v>0.314227341984187</v>
      </c>
      <c r="C381">
        <v>0.219</v>
      </c>
      <c r="D381">
        <v>6.0000000000000001E-3</v>
      </c>
      <c r="E381">
        <v>2.49477603154077E-45</v>
      </c>
      <c r="F381">
        <v>1</v>
      </c>
      <c r="G381" t="s">
        <v>1140</v>
      </c>
      <c r="H381" t="s">
        <v>1141</v>
      </c>
      <c r="I381" t="s">
        <v>1140</v>
      </c>
      <c r="J381" s="1" t="str">
        <f>HYPERLINK("https://zfin.org/ZDB-GENE-040718-442")</f>
        <v>https://zfin.org/ZDB-GENE-040718-442</v>
      </c>
      <c r="K381" t="s">
        <v>1142</v>
      </c>
    </row>
    <row r="382" spans="1:11" x14ac:dyDescent="0.2">
      <c r="A382">
        <v>1.8951664653523601E-49</v>
      </c>
      <c r="B382">
        <v>0.31769433588970902</v>
      </c>
      <c r="C382">
        <v>0.23699999999999999</v>
      </c>
      <c r="D382">
        <v>8.9999999999999993E-3</v>
      </c>
      <c r="E382">
        <v>2.9342862383050702E-45</v>
      </c>
      <c r="F382">
        <v>1</v>
      </c>
      <c r="G382" t="s">
        <v>1143</v>
      </c>
      <c r="H382" t="s">
        <v>1144</v>
      </c>
      <c r="I382" t="s">
        <v>1143</v>
      </c>
      <c r="J382" s="1" t="str">
        <f>HYPERLINK("https://zfin.org/ZDB-GENE-041001-218")</f>
        <v>https://zfin.org/ZDB-GENE-041001-218</v>
      </c>
      <c r="K382" t="s">
        <v>1145</v>
      </c>
    </row>
    <row r="383" spans="1:11" x14ac:dyDescent="0.2">
      <c r="A383">
        <v>2.0369255507529402E-49</v>
      </c>
      <c r="B383">
        <v>0.33245394129400502</v>
      </c>
      <c r="C383">
        <v>0.23699999999999999</v>
      </c>
      <c r="D383">
        <v>8.9999999999999993E-3</v>
      </c>
      <c r="E383">
        <v>3.1537718302307701E-45</v>
      </c>
      <c r="F383">
        <v>1</v>
      </c>
      <c r="G383" t="s">
        <v>1146</v>
      </c>
      <c r="H383" t="s">
        <v>1147</v>
      </c>
      <c r="I383" t="s">
        <v>1146</v>
      </c>
      <c r="J383" s="1" t="str">
        <f>HYPERLINK("https://zfin.org/ZDB-GENE-070124-2")</f>
        <v>https://zfin.org/ZDB-GENE-070124-2</v>
      </c>
      <c r="K383" t="s">
        <v>1148</v>
      </c>
    </row>
    <row r="384" spans="1:11" x14ac:dyDescent="0.2">
      <c r="A384">
        <v>2.9195522972850199E-49</v>
      </c>
      <c r="B384">
        <v>0.36803991330208902</v>
      </c>
      <c r="C384">
        <v>0.28100000000000003</v>
      </c>
      <c r="D384">
        <v>1.4999999999999999E-2</v>
      </c>
      <c r="E384">
        <v>4.5203428218864001E-45</v>
      </c>
      <c r="F384">
        <v>1</v>
      </c>
      <c r="G384" t="s">
        <v>1149</v>
      </c>
      <c r="H384" t="s">
        <v>1150</v>
      </c>
      <c r="I384" t="s">
        <v>1149</v>
      </c>
      <c r="J384" s="1" t="str">
        <f>HYPERLINK("https://zfin.org/ZDB-GENE-111214-1")</f>
        <v>https://zfin.org/ZDB-GENE-111214-1</v>
      </c>
      <c r="K384" t="s">
        <v>1151</v>
      </c>
    </row>
    <row r="385" spans="1:11" x14ac:dyDescent="0.2">
      <c r="A385">
        <v>5.6757245316320099E-49</v>
      </c>
      <c r="B385">
        <v>0.36027447542043101</v>
      </c>
      <c r="C385">
        <v>0.246</v>
      </c>
      <c r="D385">
        <v>0.01</v>
      </c>
      <c r="E385">
        <v>8.7877242923258396E-45</v>
      </c>
      <c r="F385">
        <v>1</v>
      </c>
      <c r="G385" t="s">
        <v>1152</v>
      </c>
      <c r="H385" t="s">
        <v>1153</v>
      </c>
      <c r="I385" t="s">
        <v>1152</v>
      </c>
      <c r="J385" s="1" t="str">
        <f>HYPERLINK("https://zfin.org/ZDB-GENE-080219-1")</f>
        <v>https://zfin.org/ZDB-GENE-080219-1</v>
      </c>
      <c r="K385" t="s">
        <v>1154</v>
      </c>
    </row>
    <row r="386" spans="1:11" x14ac:dyDescent="0.2">
      <c r="A386">
        <v>5.8337635191334796E-49</v>
      </c>
      <c r="B386">
        <v>-1.00242082700854</v>
      </c>
      <c r="C386">
        <v>1</v>
      </c>
      <c r="D386">
        <v>0.99099999999999999</v>
      </c>
      <c r="E386">
        <v>9.0324160566743705E-45</v>
      </c>
      <c r="F386">
        <v>1</v>
      </c>
      <c r="G386" t="s">
        <v>1155</v>
      </c>
      <c r="H386" t="s">
        <v>1156</v>
      </c>
      <c r="I386" t="s">
        <v>1157</v>
      </c>
      <c r="J386" s="1" t="str">
        <f>HYPERLINK("https://zfin.org/ZDB-GENE-040625-39")</f>
        <v>https://zfin.org/ZDB-GENE-040625-39</v>
      </c>
      <c r="K386" t="s">
        <v>1158</v>
      </c>
    </row>
    <row r="387" spans="1:11" x14ac:dyDescent="0.2">
      <c r="A387">
        <v>7.4978620346947398E-49</v>
      </c>
      <c r="B387">
        <v>0.91278851646706305</v>
      </c>
      <c r="C387">
        <v>0.88600000000000001</v>
      </c>
      <c r="D387">
        <v>0.246</v>
      </c>
      <c r="E387">
        <v>1.1608939788317901E-44</v>
      </c>
      <c r="F387">
        <v>1</v>
      </c>
      <c r="G387" t="s">
        <v>1159</v>
      </c>
      <c r="H387" t="s">
        <v>1160</v>
      </c>
      <c r="I387" t="s">
        <v>1159</v>
      </c>
      <c r="J387" s="1" t="str">
        <f>HYPERLINK("https://zfin.org/ZDB-GENE-031201-4")</f>
        <v>https://zfin.org/ZDB-GENE-031201-4</v>
      </c>
      <c r="K387" t="s">
        <v>1161</v>
      </c>
    </row>
    <row r="388" spans="1:11" x14ac:dyDescent="0.2">
      <c r="A388">
        <v>8.0585387022096401E-49</v>
      </c>
      <c r="B388">
        <v>-1.5986662791317701</v>
      </c>
      <c r="C388">
        <v>0.79800000000000004</v>
      </c>
      <c r="D388">
        <v>0.95</v>
      </c>
      <c r="E388">
        <v>1.2477035472631201E-44</v>
      </c>
      <c r="F388">
        <v>1</v>
      </c>
      <c r="G388" t="s">
        <v>1162</v>
      </c>
      <c r="H388" t="s">
        <v>1163</v>
      </c>
      <c r="I388" t="s">
        <v>1162</v>
      </c>
      <c r="J388" s="1" t="str">
        <f>HYPERLINK("https://zfin.org/ZDB-GENE-011210-2")</f>
        <v>https://zfin.org/ZDB-GENE-011210-2</v>
      </c>
      <c r="K388" t="s">
        <v>1164</v>
      </c>
    </row>
    <row r="389" spans="1:11" x14ac:dyDescent="0.2">
      <c r="A389">
        <v>1.4682341953899401E-48</v>
      </c>
      <c r="B389">
        <v>-0.991691301347989</v>
      </c>
      <c r="C389">
        <v>0.99099999999999999</v>
      </c>
      <c r="D389">
        <v>0.98299999999999998</v>
      </c>
      <c r="E389">
        <v>2.2732670047222398E-44</v>
      </c>
      <c r="F389">
        <v>1</v>
      </c>
      <c r="G389" t="s">
        <v>1165</v>
      </c>
      <c r="H389" t="s">
        <v>1166</v>
      </c>
      <c r="I389" t="s">
        <v>1165</v>
      </c>
      <c r="J389" s="1" t="str">
        <f>HYPERLINK("https://zfin.org/ZDB-GENE-040426-1033")</f>
        <v>https://zfin.org/ZDB-GENE-040426-1033</v>
      </c>
      <c r="K389" t="s">
        <v>1167</v>
      </c>
    </row>
    <row r="390" spans="1:11" x14ac:dyDescent="0.2">
      <c r="A390">
        <v>1.80069844378936E-48</v>
      </c>
      <c r="B390">
        <v>-0.92595143930344703</v>
      </c>
      <c r="C390">
        <v>0.99099999999999999</v>
      </c>
      <c r="D390">
        <v>0.98899999999999999</v>
      </c>
      <c r="E390">
        <v>2.7880214005190701E-44</v>
      </c>
      <c r="F390">
        <v>1</v>
      </c>
      <c r="G390" t="s">
        <v>1168</v>
      </c>
      <c r="H390" t="s">
        <v>1169</v>
      </c>
      <c r="I390" t="s">
        <v>1168</v>
      </c>
      <c r="J390" s="1" t="str">
        <f>HYPERLINK("https://zfin.org/ZDB-GENE-040622-2")</f>
        <v>https://zfin.org/ZDB-GENE-040622-2</v>
      </c>
      <c r="K390" t="s">
        <v>1170</v>
      </c>
    </row>
    <row r="391" spans="1:11" x14ac:dyDescent="0.2">
      <c r="A391">
        <v>2.0026350932710699E-48</v>
      </c>
      <c r="B391">
        <v>0.32068983755963698</v>
      </c>
      <c r="C391">
        <v>0.27200000000000002</v>
      </c>
      <c r="D391">
        <v>1.4E-2</v>
      </c>
      <c r="E391">
        <v>3.1006799149115902E-44</v>
      </c>
      <c r="F391">
        <v>1</v>
      </c>
      <c r="G391" t="s">
        <v>1171</v>
      </c>
      <c r="H391" t="s">
        <v>1172</v>
      </c>
      <c r="I391" t="s">
        <v>1171</v>
      </c>
      <c r="J391" s="1" t="str">
        <f>HYPERLINK("https://zfin.org/ZDB-GENE-030131-4473")</f>
        <v>https://zfin.org/ZDB-GENE-030131-4473</v>
      </c>
      <c r="K391" t="s">
        <v>1173</v>
      </c>
    </row>
    <row r="392" spans="1:11" x14ac:dyDescent="0.2">
      <c r="A392">
        <v>2.8365061918349698E-48</v>
      </c>
      <c r="B392">
        <v>0.28817744039224802</v>
      </c>
      <c r="C392">
        <v>0.21099999999999999</v>
      </c>
      <c r="D392">
        <v>6.0000000000000001E-3</v>
      </c>
      <c r="E392">
        <v>4.3917625368180899E-44</v>
      </c>
      <c r="F392">
        <v>1</v>
      </c>
      <c r="G392" t="s">
        <v>1174</v>
      </c>
      <c r="H392" t="s">
        <v>1175</v>
      </c>
      <c r="I392" t="s">
        <v>1174</v>
      </c>
      <c r="J392" s="1" t="str">
        <f>HYPERLINK("https://zfin.org/ZDB-GENE-061013-677")</f>
        <v>https://zfin.org/ZDB-GENE-061013-677</v>
      </c>
      <c r="K392" t="s">
        <v>1176</v>
      </c>
    </row>
    <row r="393" spans="1:11" x14ac:dyDescent="0.2">
      <c r="A393">
        <v>3.7018735755636001E-48</v>
      </c>
      <c r="B393">
        <v>0.319325156651312</v>
      </c>
      <c r="C393">
        <v>0.23699999999999999</v>
      </c>
      <c r="D393">
        <v>8.9999999999999993E-3</v>
      </c>
      <c r="E393">
        <v>5.7316108570451199E-44</v>
      </c>
      <c r="F393">
        <v>1</v>
      </c>
      <c r="G393" t="s">
        <v>1177</v>
      </c>
      <c r="H393" t="s">
        <v>1178</v>
      </c>
      <c r="I393" t="s">
        <v>1177</v>
      </c>
      <c r="J393" s="1" t="str">
        <f>HYPERLINK("https://zfin.org/")</f>
        <v>https://zfin.org/</v>
      </c>
      <c r="K393" t="s">
        <v>1179</v>
      </c>
    </row>
    <row r="394" spans="1:11" x14ac:dyDescent="0.2">
      <c r="A394">
        <v>4.58640804094856E-48</v>
      </c>
      <c r="B394">
        <v>-0.88607513746802802</v>
      </c>
      <c r="C394">
        <v>1</v>
      </c>
      <c r="D394">
        <v>0.99099999999999999</v>
      </c>
      <c r="E394">
        <v>7.1011355698006596E-44</v>
      </c>
      <c r="F394">
        <v>1</v>
      </c>
      <c r="G394" t="s">
        <v>1180</v>
      </c>
      <c r="H394" t="s">
        <v>1181</v>
      </c>
      <c r="I394" t="s">
        <v>1180</v>
      </c>
      <c r="J394" s="1" t="str">
        <f>HYPERLINK("https://zfin.org/ZDB-GENE-070928-31")</f>
        <v>https://zfin.org/ZDB-GENE-070928-31</v>
      </c>
      <c r="K394" t="s">
        <v>1182</v>
      </c>
    </row>
    <row r="395" spans="1:11" x14ac:dyDescent="0.2">
      <c r="A395">
        <v>6.4461552274413397E-48</v>
      </c>
      <c r="B395">
        <v>-0.954764748727849</v>
      </c>
      <c r="C395">
        <v>1</v>
      </c>
      <c r="D395">
        <v>0.99</v>
      </c>
      <c r="E395">
        <v>9.9805821386474292E-44</v>
      </c>
      <c r="F395">
        <v>1</v>
      </c>
      <c r="G395" t="s">
        <v>1183</v>
      </c>
      <c r="H395" t="s">
        <v>1184</v>
      </c>
      <c r="I395" t="s">
        <v>1183</v>
      </c>
      <c r="J395" s="1" t="str">
        <f>HYPERLINK("https://zfin.org/ZDB-GENE-030131-2022")</f>
        <v>https://zfin.org/ZDB-GENE-030131-2022</v>
      </c>
      <c r="K395" t="s">
        <v>1185</v>
      </c>
    </row>
    <row r="396" spans="1:11" x14ac:dyDescent="0.2">
      <c r="A396">
        <v>6.9848274014831897E-48</v>
      </c>
      <c r="B396">
        <v>0.28883086628910698</v>
      </c>
      <c r="C396">
        <v>0.16700000000000001</v>
      </c>
      <c r="D396">
        <v>1E-3</v>
      </c>
      <c r="E396">
        <v>1.0814608265716401E-43</v>
      </c>
      <c r="F396">
        <v>1</v>
      </c>
      <c r="G396" t="s">
        <v>1186</v>
      </c>
      <c r="H396" t="s">
        <v>1187</v>
      </c>
      <c r="I396" t="s">
        <v>1186</v>
      </c>
      <c r="J396" s="1" t="str">
        <f>HYPERLINK("https://zfin.org/ZDB-GENE-061013-303")</f>
        <v>https://zfin.org/ZDB-GENE-061013-303</v>
      </c>
      <c r="K396" t="s">
        <v>1188</v>
      </c>
    </row>
    <row r="397" spans="1:11" x14ac:dyDescent="0.2">
      <c r="A397">
        <v>8.2570824994079401E-48</v>
      </c>
      <c r="B397">
        <v>0.28303636761074602</v>
      </c>
      <c r="C397">
        <v>0.158</v>
      </c>
      <c r="D397">
        <v>1E-3</v>
      </c>
      <c r="E397">
        <v>1.27844408338333E-43</v>
      </c>
      <c r="F397">
        <v>1</v>
      </c>
      <c r="G397" t="s">
        <v>1189</v>
      </c>
      <c r="H397" t="s">
        <v>1190</v>
      </c>
      <c r="I397" t="s">
        <v>1189</v>
      </c>
      <c r="J397" s="1" t="str">
        <f>HYPERLINK("https://zfin.org/ZDB-GENE-081104-424")</f>
        <v>https://zfin.org/ZDB-GENE-081104-424</v>
      </c>
      <c r="K397" t="s">
        <v>1191</v>
      </c>
    </row>
    <row r="398" spans="1:11" x14ac:dyDescent="0.2">
      <c r="A398">
        <v>1.12989122432751E-47</v>
      </c>
      <c r="B398">
        <v>0.35627867070790897</v>
      </c>
      <c r="C398">
        <v>0.377</v>
      </c>
      <c r="D398">
        <v>3.4000000000000002E-2</v>
      </c>
      <c r="E398">
        <v>1.74941058262628E-43</v>
      </c>
      <c r="F398">
        <v>1</v>
      </c>
      <c r="G398" t="s">
        <v>1192</v>
      </c>
      <c r="H398" t="s">
        <v>1193</v>
      </c>
      <c r="I398" t="s">
        <v>1192</v>
      </c>
      <c r="J398" s="1" t="str">
        <f>HYPERLINK("https://zfin.org/ZDB-GENE-040614-3")</f>
        <v>https://zfin.org/ZDB-GENE-040614-3</v>
      </c>
      <c r="K398" t="s">
        <v>1194</v>
      </c>
    </row>
    <row r="399" spans="1:11" x14ac:dyDescent="0.2">
      <c r="A399">
        <v>1.27773911151928E-47</v>
      </c>
      <c r="B399">
        <v>0.29431887754050801</v>
      </c>
      <c r="C399">
        <v>0.219</v>
      </c>
      <c r="D399">
        <v>7.0000000000000001E-3</v>
      </c>
      <c r="E399">
        <v>1.9783234663652999E-43</v>
      </c>
      <c r="F399">
        <v>1</v>
      </c>
      <c r="G399" t="s">
        <v>1195</v>
      </c>
      <c r="H399" t="s">
        <v>1196</v>
      </c>
      <c r="I399" t="s">
        <v>1195</v>
      </c>
      <c r="J399" s="1" t="str">
        <f>HYPERLINK("https://zfin.org/ZDB-GENE-030131-8115")</f>
        <v>https://zfin.org/ZDB-GENE-030131-8115</v>
      </c>
      <c r="K399" t="s">
        <v>1197</v>
      </c>
    </row>
    <row r="400" spans="1:11" x14ac:dyDescent="0.2">
      <c r="A400">
        <v>1.2866539403481699E-47</v>
      </c>
      <c r="B400">
        <v>0.46664084227243602</v>
      </c>
      <c r="C400">
        <v>0.5</v>
      </c>
      <c r="D400">
        <v>6.4000000000000001E-2</v>
      </c>
      <c r="E400">
        <v>1.9921262958410798E-43</v>
      </c>
      <c r="F400">
        <v>1</v>
      </c>
      <c r="G400" t="s">
        <v>1198</v>
      </c>
      <c r="H400" t="s">
        <v>1199</v>
      </c>
      <c r="I400" t="s">
        <v>1198</v>
      </c>
      <c r="J400" s="1" t="str">
        <f>HYPERLINK("https://zfin.org/ZDB-GENE-030131-9396")</f>
        <v>https://zfin.org/ZDB-GENE-030131-9396</v>
      </c>
      <c r="K400" t="s">
        <v>1200</v>
      </c>
    </row>
    <row r="401" spans="1:11" x14ac:dyDescent="0.2">
      <c r="A401">
        <v>3.22230782361705E-47</v>
      </c>
      <c r="B401">
        <v>-1.10423124763897</v>
      </c>
      <c r="C401">
        <v>0.97399999999999998</v>
      </c>
      <c r="D401">
        <v>0.96899999999999997</v>
      </c>
      <c r="E401">
        <v>4.9890992033062797E-43</v>
      </c>
      <c r="F401">
        <v>1</v>
      </c>
      <c r="G401" t="s">
        <v>1201</v>
      </c>
      <c r="H401" t="s">
        <v>1202</v>
      </c>
      <c r="I401" t="s">
        <v>1201</v>
      </c>
      <c r="J401" s="1" t="str">
        <f>HYPERLINK("https://zfin.org/ZDB-GENE-040801-167")</f>
        <v>https://zfin.org/ZDB-GENE-040801-167</v>
      </c>
      <c r="K401" t="s">
        <v>1203</v>
      </c>
    </row>
    <row r="402" spans="1:11" x14ac:dyDescent="0.2">
      <c r="A402">
        <v>3.4797031143486302E-47</v>
      </c>
      <c r="B402">
        <v>0.38998574711228501</v>
      </c>
      <c r="C402">
        <v>0.307</v>
      </c>
      <c r="D402">
        <v>2.1000000000000001E-2</v>
      </c>
      <c r="E402">
        <v>5.3876243319459804E-43</v>
      </c>
      <c r="F402">
        <v>1</v>
      </c>
      <c r="G402" t="s">
        <v>1204</v>
      </c>
      <c r="H402" t="s">
        <v>1205</v>
      </c>
      <c r="I402" t="s">
        <v>1204</v>
      </c>
      <c r="J402" s="1" t="str">
        <f>HYPERLINK("https://zfin.org/ZDB-GENE-041221-3")</f>
        <v>https://zfin.org/ZDB-GENE-041221-3</v>
      </c>
      <c r="K402" t="s">
        <v>1206</v>
      </c>
    </row>
    <row r="403" spans="1:11" x14ac:dyDescent="0.2">
      <c r="A403">
        <v>4.3960645681750998E-47</v>
      </c>
      <c r="B403">
        <v>0.45623884283215699</v>
      </c>
      <c r="C403">
        <v>0.33300000000000002</v>
      </c>
      <c r="D403">
        <v>2.5999999999999999E-2</v>
      </c>
      <c r="E403">
        <v>6.8064267709055102E-43</v>
      </c>
      <c r="F403">
        <v>1</v>
      </c>
      <c r="G403" t="s">
        <v>1207</v>
      </c>
      <c r="H403" t="s">
        <v>1208</v>
      </c>
      <c r="I403" t="s">
        <v>1207</v>
      </c>
      <c r="J403" s="1" t="str">
        <f>HYPERLINK("https://zfin.org/ZDB-GENE-030131-8100")</f>
        <v>https://zfin.org/ZDB-GENE-030131-8100</v>
      </c>
      <c r="K403" t="s">
        <v>1209</v>
      </c>
    </row>
    <row r="404" spans="1:11" x14ac:dyDescent="0.2">
      <c r="A404">
        <v>4.5811049259947897E-47</v>
      </c>
      <c r="B404">
        <v>0.34818159338874</v>
      </c>
      <c r="C404">
        <v>0.21099999999999999</v>
      </c>
      <c r="D404">
        <v>6.0000000000000001E-3</v>
      </c>
      <c r="E404">
        <v>7.0929247569177302E-43</v>
      </c>
      <c r="F404">
        <v>1</v>
      </c>
      <c r="G404" t="s">
        <v>1210</v>
      </c>
      <c r="H404" t="s">
        <v>1211</v>
      </c>
      <c r="I404" t="s">
        <v>1210</v>
      </c>
      <c r="J404" s="1" t="str">
        <f>HYPERLINK("https://zfin.org/")</f>
        <v>https://zfin.org/</v>
      </c>
      <c r="K404" t="s">
        <v>1212</v>
      </c>
    </row>
    <row r="405" spans="1:11" x14ac:dyDescent="0.2">
      <c r="A405">
        <v>4.6158976877874602E-47</v>
      </c>
      <c r="B405">
        <v>0.29659770114855</v>
      </c>
      <c r="C405">
        <v>0.193</v>
      </c>
      <c r="D405">
        <v>4.0000000000000001E-3</v>
      </c>
      <c r="E405">
        <v>7.1467943900013303E-43</v>
      </c>
      <c r="F405">
        <v>1</v>
      </c>
      <c r="G405" t="s">
        <v>1213</v>
      </c>
      <c r="H405" t="s">
        <v>1214</v>
      </c>
      <c r="I405" t="s">
        <v>1213</v>
      </c>
      <c r="J405" s="1" t="str">
        <f>HYPERLINK("https://zfin.org/ZDB-GENE-091112-22")</f>
        <v>https://zfin.org/ZDB-GENE-091112-22</v>
      </c>
      <c r="K405" t="s">
        <v>1215</v>
      </c>
    </row>
    <row r="406" spans="1:11" x14ac:dyDescent="0.2">
      <c r="A406">
        <v>5.0160302497656201E-47</v>
      </c>
      <c r="B406">
        <v>0.45499939611404999</v>
      </c>
      <c r="C406">
        <v>0.38600000000000001</v>
      </c>
      <c r="D406">
        <v>3.6999999999999998E-2</v>
      </c>
      <c r="E406">
        <v>7.76631963571211E-43</v>
      </c>
      <c r="F406">
        <v>1</v>
      </c>
      <c r="G406" t="s">
        <v>1216</v>
      </c>
      <c r="H406" t="s">
        <v>1217</v>
      </c>
      <c r="I406" t="s">
        <v>1216</v>
      </c>
      <c r="J406" s="1" t="str">
        <f>HYPERLINK("https://zfin.org/ZDB-GENE-040426-1676")</f>
        <v>https://zfin.org/ZDB-GENE-040426-1676</v>
      </c>
      <c r="K406" t="s">
        <v>1218</v>
      </c>
    </row>
    <row r="407" spans="1:11" x14ac:dyDescent="0.2">
      <c r="A407">
        <v>6.5784432864157895E-47</v>
      </c>
      <c r="B407">
        <v>0.64183763658757798</v>
      </c>
      <c r="C407">
        <v>0.439</v>
      </c>
      <c r="D407">
        <v>5.0999999999999997E-2</v>
      </c>
      <c r="E407">
        <v>1.01854037403576E-42</v>
      </c>
      <c r="F407">
        <v>1</v>
      </c>
      <c r="G407" t="s">
        <v>1219</v>
      </c>
      <c r="H407" t="s">
        <v>1220</v>
      </c>
      <c r="I407" t="s">
        <v>1219</v>
      </c>
      <c r="J407" s="1" t="str">
        <f>HYPERLINK("https://zfin.org/ZDB-GENE-081104-178")</f>
        <v>https://zfin.org/ZDB-GENE-081104-178</v>
      </c>
      <c r="K407" t="s">
        <v>1221</v>
      </c>
    </row>
    <row r="408" spans="1:11" x14ac:dyDescent="0.2">
      <c r="A408">
        <v>7.3709183939798903E-47</v>
      </c>
      <c r="B408">
        <v>-2.05157180592203</v>
      </c>
      <c r="C408">
        <v>0.47399999999999998</v>
      </c>
      <c r="D408">
        <v>0.88300000000000001</v>
      </c>
      <c r="E408">
        <v>1.14123929493991E-42</v>
      </c>
      <c r="F408">
        <v>1</v>
      </c>
      <c r="G408" t="s">
        <v>1222</v>
      </c>
      <c r="H408" t="s">
        <v>1223</v>
      </c>
      <c r="I408" t="s">
        <v>1222</v>
      </c>
      <c r="J408" s="1" t="str">
        <f>HYPERLINK("https://zfin.org/ZDB-GENE-060316-3")</f>
        <v>https://zfin.org/ZDB-GENE-060316-3</v>
      </c>
      <c r="K408" t="s">
        <v>1224</v>
      </c>
    </row>
    <row r="409" spans="1:11" x14ac:dyDescent="0.2">
      <c r="A409">
        <v>8.7487961090482096E-47</v>
      </c>
      <c r="B409">
        <v>0.49335694672306502</v>
      </c>
      <c r="C409">
        <v>0.439</v>
      </c>
      <c r="D409">
        <v>0.05</v>
      </c>
      <c r="E409">
        <v>1.35457610156393E-42</v>
      </c>
      <c r="F409">
        <v>1</v>
      </c>
      <c r="G409" t="s">
        <v>1225</v>
      </c>
      <c r="H409" t="s">
        <v>1226</v>
      </c>
      <c r="I409" t="s">
        <v>1225</v>
      </c>
      <c r="J409" s="1" t="str">
        <f>HYPERLINK("https://zfin.org/ZDB-GENE-030131-1980")</f>
        <v>https://zfin.org/ZDB-GENE-030131-1980</v>
      </c>
      <c r="K409" t="s">
        <v>1227</v>
      </c>
    </row>
    <row r="410" spans="1:11" x14ac:dyDescent="0.2">
      <c r="A410">
        <v>9.2101544333981201E-47</v>
      </c>
      <c r="B410">
        <v>0.29316645194216701</v>
      </c>
      <c r="C410">
        <v>0.21099999999999999</v>
      </c>
      <c r="D410">
        <v>6.0000000000000001E-3</v>
      </c>
      <c r="E410">
        <v>1.4260082109230301E-42</v>
      </c>
      <c r="F410">
        <v>1</v>
      </c>
      <c r="G410" t="s">
        <v>1228</v>
      </c>
      <c r="H410" t="s">
        <v>1229</v>
      </c>
      <c r="I410" t="s">
        <v>1228</v>
      </c>
      <c r="J410" s="1" t="str">
        <f>HYPERLINK("https://zfin.org/ZDB-GENE-060503-471")</f>
        <v>https://zfin.org/ZDB-GENE-060503-471</v>
      </c>
      <c r="K410" t="s">
        <v>1230</v>
      </c>
    </row>
    <row r="411" spans="1:11" x14ac:dyDescent="0.2">
      <c r="A411">
        <v>9.4191080130851498E-47</v>
      </c>
      <c r="B411">
        <v>-2.0341684155763402</v>
      </c>
      <c r="C411">
        <v>0.57899999999999996</v>
      </c>
      <c r="D411">
        <v>0.90400000000000003</v>
      </c>
      <c r="E411">
        <v>1.4583604936659699E-42</v>
      </c>
      <c r="F411">
        <v>1</v>
      </c>
      <c r="G411" t="s">
        <v>1231</v>
      </c>
      <c r="H411" t="s">
        <v>1232</v>
      </c>
      <c r="I411" t="s">
        <v>1231</v>
      </c>
      <c r="J411" s="1" t="str">
        <f>HYPERLINK("https://zfin.org/ZDB-GENE-110411-160")</f>
        <v>https://zfin.org/ZDB-GENE-110411-160</v>
      </c>
      <c r="K411" t="s">
        <v>1233</v>
      </c>
    </row>
    <row r="412" spans="1:11" x14ac:dyDescent="0.2">
      <c r="A412">
        <v>1.34461532340118E-46</v>
      </c>
      <c r="B412">
        <v>0.40966372185924399</v>
      </c>
      <c r="C412">
        <v>0.33300000000000002</v>
      </c>
      <c r="D412">
        <v>2.5999999999999999E-2</v>
      </c>
      <c r="E412">
        <v>2.0818679052220401E-42</v>
      </c>
      <c r="F412">
        <v>1</v>
      </c>
      <c r="G412" t="s">
        <v>1234</v>
      </c>
      <c r="H412" t="s">
        <v>1235</v>
      </c>
      <c r="I412" t="s">
        <v>1236</v>
      </c>
      <c r="J412" s="1" t="str">
        <f>HYPERLINK("https://zfin.org/")</f>
        <v>https://zfin.org/</v>
      </c>
    </row>
    <row r="413" spans="1:11" x14ac:dyDescent="0.2">
      <c r="A413">
        <v>1.5070271409451699E-46</v>
      </c>
      <c r="B413">
        <v>-2.0752368290813199</v>
      </c>
      <c r="C413">
        <v>0.64</v>
      </c>
      <c r="D413">
        <v>0.91500000000000004</v>
      </c>
      <c r="E413">
        <v>2.3333301223254101E-42</v>
      </c>
      <c r="F413">
        <v>1</v>
      </c>
      <c r="G413" t="s">
        <v>1237</v>
      </c>
      <c r="H413" t="s">
        <v>1238</v>
      </c>
      <c r="I413" t="s">
        <v>1237</v>
      </c>
      <c r="J413" s="1" t="str">
        <f>HYPERLINK("https://zfin.org/ZDB-GENE-030131-3532")</f>
        <v>https://zfin.org/ZDB-GENE-030131-3532</v>
      </c>
      <c r="K413" t="s">
        <v>1239</v>
      </c>
    </row>
    <row r="414" spans="1:11" x14ac:dyDescent="0.2">
      <c r="A414">
        <v>1.77438020815653E-46</v>
      </c>
      <c r="B414">
        <v>1.28023019428089</v>
      </c>
      <c r="C414">
        <v>0.98199999999999998</v>
      </c>
      <c r="D414">
        <v>0.47299999999999998</v>
      </c>
      <c r="E414">
        <v>2.7472728762887601E-42</v>
      </c>
      <c r="F414">
        <v>1</v>
      </c>
      <c r="G414" t="s">
        <v>1240</v>
      </c>
      <c r="H414" t="s">
        <v>1241</v>
      </c>
      <c r="I414" t="s">
        <v>1240</v>
      </c>
      <c r="J414" s="1" t="str">
        <f>HYPERLINK("https://zfin.org/ZDB-GENE-060929-568")</f>
        <v>https://zfin.org/ZDB-GENE-060929-568</v>
      </c>
      <c r="K414" t="s">
        <v>1242</v>
      </c>
    </row>
    <row r="415" spans="1:11" x14ac:dyDescent="0.2">
      <c r="A415">
        <v>2.1704003940768301E-46</v>
      </c>
      <c r="B415">
        <v>0.33719032252012798</v>
      </c>
      <c r="C415">
        <v>0.246</v>
      </c>
      <c r="D415">
        <v>1.0999999999999999E-2</v>
      </c>
      <c r="E415">
        <v>3.3604309301491603E-42</v>
      </c>
      <c r="F415">
        <v>1</v>
      </c>
      <c r="G415" t="s">
        <v>1243</v>
      </c>
      <c r="H415" t="s">
        <v>1244</v>
      </c>
      <c r="I415" t="s">
        <v>1243</v>
      </c>
      <c r="J415" s="1" t="str">
        <f>HYPERLINK("https://zfin.org/ZDB-GENE-040910-4")</f>
        <v>https://zfin.org/ZDB-GENE-040910-4</v>
      </c>
      <c r="K415" t="s">
        <v>1245</v>
      </c>
    </row>
    <row r="416" spans="1:11" x14ac:dyDescent="0.2">
      <c r="A416">
        <v>2.2323636169997799E-46</v>
      </c>
      <c r="B416">
        <v>0.40517724326717203</v>
      </c>
      <c r="C416">
        <v>0.33300000000000002</v>
      </c>
      <c r="D416">
        <v>2.7E-2</v>
      </c>
      <c r="E416">
        <v>3.4563685882007603E-42</v>
      </c>
      <c r="F416">
        <v>1</v>
      </c>
      <c r="G416" t="s">
        <v>1246</v>
      </c>
      <c r="H416" t="s">
        <v>1247</v>
      </c>
      <c r="I416" t="s">
        <v>1246</v>
      </c>
      <c r="J416" s="1" t="str">
        <f>HYPERLINK("https://zfin.org/ZDB-GENE-131121-564")</f>
        <v>https://zfin.org/ZDB-GENE-131121-564</v>
      </c>
      <c r="K416" t="s">
        <v>1248</v>
      </c>
    </row>
    <row r="417" spans="1:11" x14ac:dyDescent="0.2">
      <c r="A417">
        <v>2.3180797280087502E-46</v>
      </c>
      <c r="B417">
        <v>0.33884636134797302</v>
      </c>
      <c r="C417">
        <v>0.246</v>
      </c>
      <c r="D417">
        <v>1.0999999999999999E-2</v>
      </c>
      <c r="E417">
        <v>3.5890828428759399E-42</v>
      </c>
      <c r="F417">
        <v>1</v>
      </c>
      <c r="G417" t="s">
        <v>1249</v>
      </c>
      <c r="H417" t="s">
        <v>1250</v>
      </c>
      <c r="I417" t="s">
        <v>1249</v>
      </c>
      <c r="J417" s="1" t="str">
        <f>HYPERLINK("https://zfin.org/ZDB-GENE-080923-1")</f>
        <v>https://zfin.org/ZDB-GENE-080923-1</v>
      </c>
      <c r="K417" t="s">
        <v>1251</v>
      </c>
    </row>
    <row r="418" spans="1:11" x14ac:dyDescent="0.2">
      <c r="A418">
        <v>3.2779359780150601E-46</v>
      </c>
      <c r="B418">
        <v>0.98852868960463003</v>
      </c>
      <c r="C418">
        <v>0.88600000000000001</v>
      </c>
      <c r="D418">
        <v>0.29399999999999998</v>
      </c>
      <c r="E418">
        <v>5.0752282747607102E-42</v>
      </c>
      <c r="F418">
        <v>1</v>
      </c>
      <c r="G418" t="s">
        <v>1252</v>
      </c>
      <c r="H418" t="s">
        <v>1253</v>
      </c>
      <c r="I418" t="s">
        <v>1252</v>
      </c>
      <c r="J418" s="1" t="str">
        <f>HYPERLINK("https://zfin.org/ZDB-GENE-040426-1960")</f>
        <v>https://zfin.org/ZDB-GENE-040426-1960</v>
      </c>
      <c r="K418" t="s">
        <v>1254</v>
      </c>
    </row>
    <row r="419" spans="1:11" x14ac:dyDescent="0.2">
      <c r="A419">
        <v>3.4575576297922799E-46</v>
      </c>
      <c r="B419">
        <v>0.506159012017659</v>
      </c>
      <c r="C419">
        <v>0.36</v>
      </c>
      <c r="D419">
        <v>3.3000000000000002E-2</v>
      </c>
      <c r="E419">
        <v>5.3533364782073802E-42</v>
      </c>
      <c r="F419">
        <v>1</v>
      </c>
      <c r="G419" t="s">
        <v>1255</v>
      </c>
      <c r="H419" t="s">
        <v>1256</v>
      </c>
      <c r="I419" t="s">
        <v>1255</v>
      </c>
      <c r="J419" s="1" t="str">
        <f>HYPERLINK("https://zfin.org/ZDB-GENE-070620-18")</f>
        <v>https://zfin.org/ZDB-GENE-070620-18</v>
      </c>
      <c r="K419" t="s">
        <v>1257</v>
      </c>
    </row>
    <row r="420" spans="1:11" x14ac:dyDescent="0.2">
      <c r="A420">
        <v>3.5474630956171499E-46</v>
      </c>
      <c r="B420">
        <v>-1.7476903350975099</v>
      </c>
      <c r="C420">
        <v>0.5</v>
      </c>
      <c r="D420">
        <v>0.89600000000000002</v>
      </c>
      <c r="E420">
        <v>5.4925371109440299E-42</v>
      </c>
      <c r="F420">
        <v>1</v>
      </c>
      <c r="G420" t="s">
        <v>1258</v>
      </c>
      <c r="H420" t="s">
        <v>1259</v>
      </c>
      <c r="I420" t="s">
        <v>1258</v>
      </c>
      <c r="J420" s="1" t="str">
        <f>HYPERLINK("https://zfin.org/ZDB-GENE-010328-8")</f>
        <v>https://zfin.org/ZDB-GENE-010328-8</v>
      </c>
      <c r="K420" t="s">
        <v>1260</v>
      </c>
    </row>
    <row r="421" spans="1:11" x14ac:dyDescent="0.2">
      <c r="A421">
        <v>3.7020948022865799E-46</v>
      </c>
      <c r="B421">
        <v>0.98152334573704603</v>
      </c>
      <c r="C421">
        <v>0.69299999999999995</v>
      </c>
      <c r="D421">
        <v>0.14599999999999999</v>
      </c>
      <c r="E421">
        <v>5.7319533823803102E-42</v>
      </c>
      <c r="F421">
        <v>1</v>
      </c>
      <c r="G421" t="s">
        <v>1261</v>
      </c>
      <c r="H421" t="s">
        <v>1262</v>
      </c>
      <c r="I421" t="s">
        <v>1261</v>
      </c>
      <c r="J421" s="1" t="str">
        <f>HYPERLINK("https://zfin.org/ZDB-GENE-050320-35")</f>
        <v>https://zfin.org/ZDB-GENE-050320-35</v>
      </c>
      <c r="K421" t="s">
        <v>1263</v>
      </c>
    </row>
    <row r="422" spans="1:11" x14ac:dyDescent="0.2">
      <c r="A422">
        <v>5.74451138274269E-46</v>
      </c>
      <c r="B422">
        <v>-0.93461384252578505</v>
      </c>
      <c r="C422">
        <v>0.98199999999999998</v>
      </c>
      <c r="D422">
        <v>0.98199999999999998</v>
      </c>
      <c r="E422">
        <v>8.8942269739005002E-42</v>
      </c>
      <c r="F422">
        <v>1</v>
      </c>
      <c r="G422" t="s">
        <v>1264</v>
      </c>
      <c r="H422" t="s">
        <v>1265</v>
      </c>
      <c r="I422" t="s">
        <v>1264</v>
      </c>
      <c r="J422" s="1" t="str">
        <f>HYPERLINK("https://zfin.org/ZDB-GENE-040426-2117")</f>
        <v>https://zfin.org/ZDB-GENE-040426-2117</v>
      </c>
      <c r="K422" t="s">
        <v>1266</v>
      </c>
    </row>
    <row r="423" spans="1:11" x14ac:dyDescent="0.2">
      <c r="A423">
        <v>7.1063410378725197E-46</v>
      </c>
      <c r="B423">
        <v>0.26729404333922402</v>
      </c>
      <c r="C423">
        <v>0.17499999999999999</v>
      </c>
      <c r="D423">
        <v>3.0000000000000001E-3</v>
      </c>
      <c r="E423">
        <v>1.1002747828938E-41</v>
      </c>
      <c r="F423">
        <v>1</v>
      </c>
      <c r="G423" t="s">
        <v>1267</v>
      </c>
      <c r="H423" t="s">
        <v>1268</v>
      </c>
      <c r="I423" t="s">
        <v>1267</v>
      </c>
      <c r="J423" s="1" t="str">
        <f>HYPERLINK("https://zfin.org/")</f>
        <v>https://zfin.org/</v>
      </c>
      <c r="K423" t="s">
        <v>1269</v>
      </c>
    </row>
    <row r="424" spans="1:11" x14ac:dyDescent="0.2">
      <c r="A424">
        <v>8.0821163363610507E-46</v>
      </c>
      <c r="B424">
        <v>0.41220703515746099</v>
      </c>
      <c r="C424">
        <v>0.38600000000000001</v>
      </c>
      <c r="D424">
        <v>3.7999999999999999E-2</v>
      </c>
      <c r="E424">
        <v>1.25135407235878E-41</v>
      </c>
      <c r="F424">
        <v>1</v>
      </c>
      <c r="G424" t="s">
        <v>1270</v>
      </c>
      <c r="H424" t="s">
        <v>1271</v>
      </c>
      <c r="I424" t="s">
        <v>1270</v>
      </c>
      <c r="J424" s="1" t="str">
        <f>HYPERLINK("https://zfin.org/ZDB-GENE-040426-914")</f>
        <v>https://zfin.org/ZDB-GENE-040426-914</v>
      </c>
      <c r="K424" t="s">
        <v>1272</v>
      </c>
    </row>
    <row r="425" spans="1:11" x14ac:dyDescent="0.2">
      <c r="A425">
        <v>8.1767349326171207E-46</v>
      </c>
      <c r="B425">
        <v>0.40923349228577099</v>
      </c>
      <c r="C425">
        <v>0.34200000000000003</v>
      </c>
      <c r="D425">
        <v>2.9000000000000001E-2</v>
      </c>
      <c r="E425">
        <v>1.26600386961711E-41</v>
      </c>
      <c r="F425">
        <v>1</v>
      </c>
      <c r="G425" t="s">
        <v>1273</v>
      </c>
      <c r="H425" t="s">
        <v>1274</v>
      </c>
      <c r="I425" t="s">
        <v>1273</v>
      </c>
      <c r="J425" s="1" t="str">
        <f>HYPERLINK("https://zfin.org/ZDB-GENE-050417-439")</f>
        <v>https://zfin.org/ZDB-GENE-050417-439</v>
      </c>
      <c r="K425" t="s">
        <v>1275</v>
      </c>
    </row>
    <row r="426" spans="1:11" x14ac:dyDescent="0.2">
      <c r="A426">
        <v>9.5475223951067102E-46</v>
      </c>
      <c r="B426">
        <v>0.30003350429227799</v>
      </c>
      <c r="C426">
        <v>0.20200000000000001</v>
      </c>
      <c r="D426">
        <v>6.0000000000000001E-3</v>
      </c>
      <c r="E426">
        <v>1.4782428924343699E-41</v>
      </c>
      <c r="F426">
        <v>1</v>
      </c>
      <c r="G426" t="s">
        <v>1276</v>
      </c>
      <c r="H426" t="s">
        <v>1277</v>
      </c>
      <c r="I426" t="s">
        <v>1276</v>
      </c>
      <c r="J426" s="1" t="str">
        <f>HYPERLINK("https://zfin.org/ZDB-GENE-010319-27")</f>
        <v>https://zfin.org/ZDB-GENE-010319-27</v>
      </c>
      <c r="K426" t="s">
        <v>1278</v>
      </c>
    </row>
    <row r="427" spans="1:11" x14ac:dyDescent="0.2">
      <c r="A427">
        <v>1.4953926976981701E-45</v>
      </c>
      <c r="B427">
        <v>-1.0447023239614599</v>
      </c>
      <c r="C427">
        <v>0.97399999999999998</v>
      </c>
      <c r="D427">
        <v>0.96499999999999997</v>
      </c>
      <c r="E427">
        <v>2.31531651384608E-41</v>
      </c>
      <c r="F427">
        <v>1</v>
      </c>
      <c r="G427" t="s">
        <v>1279</v>
      </c>
      <c r="H427" t="s">
        <v>1280</v>
      </c>
      <c r="I427" t="s">
        <v>1279</v>
      </c>
      <c r="J427" s="1" t="str">
        <f>HYPERLINK("https://zfin.org/ZDB-GENE-000210-33")</f>
        <v>https://zfin.org/ZDB-GENE-000210-33</v>
      </c>
      <c r="K427" t="s">
        <v>1281</v>
      </c>
    </row>
    <row r="428" spans="1:11" x14ac:dyDescent="0.2">
      <c r="A428">
        <v>1.50599041420898E-45</v>
      </c>
      <c r="B428">
        <v>0.39873676247844198</v>
      </c>
      <c r="C428">
        <v>0.307</v>
      </c>
      <c r="D428">
        <v>2.1999999999999999E-2</v>
      </c>
      <c r="E428">
        <v>2.3317249583197702E-41</v>
      </c>
      <c r="F428">
        <v>1</v>
      </c>
      <c r="G428" t="s">
        <v>1282</v>
      </c>
      <c r="H428" t="s">
        <v>1283</v>
      </c>
      <c r="I428" t="s">
        <v>1282</v>
      </c>
      <c r="J428" s="1" t="str">
        <f>HYPERLINK("https://zfin.org/ZDB-GENE-030616-154")</f>
        <v>https://zfin.org/ZDB-GENE-030616-154</v>
      </c>
      <c r="K428" t="s">
        <v>1284</v>
      </c>
    </row>
    <row r="429" spans="1:11" x14ac:dyDescent="0.2">
      <c r="A429">
        <v>1.6679289251292899E-45</v>
      </c>
      <c r="B429">
        <v>0.296857124884988</v>
      </c>
      <c r="C429">
        <v>0.22800000000000001</v>
      </c>
      <c r="D429">
        <v>8.9999999999999993E-3</v>
      </c>
      <c r="E429">
        <v>2.5824543547776799E-41</v>
      </c>
      <c r="F429">
        <v>1</v>
      </c>
      <c r="G429" t="s">
        <v>1285</v>
      </c>
      <c r="H429" t="s">
        <v>1286</v>
      </c>
      <c r="I429" t="s">
        <v>1285</v>
      </c>
      <c r="J429" s="1" t="str">
        <f>HYPERLINK("https://zfin.org/ZDB-GENE-060321-2")</f>
        <v>https://zfin.org/ZDB-GENE-060321-2</v>
      </c>
      <c r="K429" t="s">
        <v>1287</v>
      </c>
    </row>
    <row r="430" spans="1:11" x14ac:dyDescent="0.2">
      <c r="A430">
        <v>2.43901844428882E-45</v>
      </c>
      <c r="B430">
        <v>0.43519506800921598</v>
      </c>
      <c r="C430">
        <v>0.38600000000000001</v>
      </c>
      <c r="D430">
        <v>3.9E-2</v>
      </c>
      <c r="E430">
        <v>3.7763322572923801E-41</v>
      </c>
      <c r="F430">
        <v>1</v>
      </c>
      <c r="G430" t="s">
        <v>1288</v>
      </c>
      <c r="H430" t="s">
        <v>1289</v>
      </c>
      <c r="I430" t="s">
        <v>1288</v>
      </c>
      <c r="J430" s="1" t="str">
        <f>HYPERLINK("https://zfin.org/ZDB-GENE-040426-1943")</f>
        <v>https://zfin.org/ZDB-GENE-040426-1943</v>
      </c>
      <c r="K430" t="s">
        <v>1290</v>
      </c>
    </row>
    <row r="431" spans="1:11" x14ac:dyDescent="0.2">
      <c r="A431">
        <v>2.5996682987844301E-45</v>
      </c>
      <c r="B431">
        <v>0.32833218865325497</v>
      </c>
      <c r="C431">
        <v>0.23699999999999999</v>
      </c>
      <c r="D431">
        <v>1.0999999999999999E-2</v>
      </c>
      <c r="E431">
        <v>4.02506642700793E-41</v>
      </c>
      <c r="F431">
        <v>1</v>
      </c>
      <c r="G431" t="s">
        <v>1291</v>
      </c>
      <c r="H431" t="s">
        <v>1292</v>
      </c>
      <c r="I431" t="s">
        <v>1291</v>
      </c>
      <c r="J431" s="1" t="str">
        <f>HYPERLINK("https://zfin.org/ZDB-GENE-041210-268")</f>
        <v>https://zfin.org/ZDB-GENE-041210-268</v>
      </c>
      <c r="K431" t="s">
        <v>1293</v>
      </c>
    </row>
    <row r="432" spans="1:11" x14ac:dyDescent="0.2">
      <c r="A432">
        <v>2.63599526074897E-45</v>
      </c>
      <c r="B432">
        <v>0.41316787791612702</v>
      </c>
      <c r="C432">
        <v>0.26300000000000001</v>
      </c>
      <c r="D432">
        <v>1.4999999999999999E-2</v>
      </c>
      <c r="E432">
        <v>4.0813114622176402E-41</v>
      </c>
      <c r="F432">
        <v>1</v>
      </c>
      <c r="G432" t="s">
        <v>1294</v>
      </c>
      <c r="H432" t="s">
        <v>1295</v>
      </c>
      <c r="I432" t="s">
        <v>1294</v>
      </c>
      <c r="J432" s="1" t="str">
        <f>HYPERLINK("https://zfin.org/ZDB-GENE-041014-73")</f>
        <v>https://zfin.org/ZDB-GENE-041014-73</v>
      </c>
      <c r="K432" t="s">
        <v>1296</v>
      </c>
    </row>
    <row r="433" spans="1:11" x14ac:dyDescent="0.2">
      <c r="A433">
        <v>3.9498654472401602E-45</v>
      </c>
      <c r="B433">
        <v>0.87304324009283396</v>
      </c>
      <c r="C433">
        <v>0.92100000000000004</v>
      </c>
      <c r="D433">
        <v>0.3</v>
      </c>
      <c r="E433">
        <v>6.1155766719619405E-41</v>
      </c>
      <c r="F433">
        <v>1</v>
      </c>
      <c r="G433" t="s">
        <v>1297</v>
      </c>
      <c r="H433" t="s">
        <v>1298</v>
      </c>
      <c r="I433" t="s">
        <v>1297</v>
      </c>
      <c r="J433" s="1" t="str">
        <f>HYPERLINK("https://zfin.org/ZDB-GENE-040122-4")</f>
        <v>https://zfin.org/ZDB-GENE-040122-4</v>
      </c>
      <c r="K433" t="s">
        <v>1299</v>
      </c>
    </row>
    <row r="434" spans="1:11" x14ac:dyDescent="0.2">
      <c r="A434">
        <v>4.0980026266709298E-45</v>
      </c>
      <c r="B434">
        <v>0.54660683928156695</v>
      </c>
      <c r="C434">
        <v>0.41199999999999998</v>
      </c>
      <c r="D434">
        <v>4.7E-2</v>
      </c>
      <c r="E434">
        <v>6.3449374668745999E-41</v>
      </c>
      <c r="F434">
        <v>1</v>
      </c>
      <c r="G434" t="s">
        <v>1300</v>
      </c>
      <c r="H434" t="s">
        <v>1301</v>
      </c>
      <c r="I434" t="s">
        <v>1300</v>
      </c>
      <c r="J434" s="1" t="str">
        <f>HYPERLINK("https://zfin.org/ZDB-GENE-040426-1446")</f>
        <v>https://zfin.org/ZDB-GENE-040426-1446</v>
      </c>
      <c r="K434" t="s">
        <v>1302</v>
      </c>
    </row>
    <row r="435" spans="1:11" x14ac:dyDescent="0.2">
      <c r="A435">
        <v>4.7301587770423997E-45</v>
      </c>
      <c r="B435">
        <v>0.25766722063528202</v>
      </c>
      <c r="C435">
        <v>0.158</v>
      </c>
      <c r="D435">
        <v>1E-3</v>
      </c>
      <c r="E435">
        <v>7.3237048344947495E-41</v>
      </c>
      <c r="F435">
        <v>1</v>
      </c>
      <c r="G435" t="s">
        <v>1303</v>
      </c>
      <c r="H435" t="s">
        <v>1304</v>
      </c>
      <c r="I435" t="s">
        <v>1303</v>
      </c>
      <c r="J435" s="1" t="str">
        <f>HYPERLINK("https://zfin.org/ZDB-GENE-090915-4")</f>
        <v>https://zfin.org/ZDB-GENE-090915-4</v>
      </c>
      <c r="K435" t="s">
        <v>1305</v>
      </c>
    </row>
    <row r="436" spans="1:11" x14ac:dyDescent="0.2">
      <c r="A436">
        <v>6.1623006408543602E-45</v>
      </c>
      <c r="B436">
        <v>0.30922496884158401</v>
      </c>
      <c r="C436">
        <v>0.23699999999999999</v>
      </c>
      <c r="D436">
        <v>1.0999999999999999E-2</v>
      </c>
      <c r="E436">
        <v>9.5410900822347998E-41</v>
      </c>
      <c r="F436">
        <v>1</v>
      </c>
      <c r="G436" t="s">
        <v>1306</v>
      </c>
      <c r="H436" t="s">
        <v>1307</v>
      </c>
      <c r="I436" t="s">
        <v>1306</v>
      </c>
      <c r="J436" s="1" t="str">
        <f>HYPERLINK("https://zfin.org/ZDB-GENE-051030-42")</f>
        <v>https://zfin.org/ZDB-GENE-051030-42</v>
      </c>
      <c r="K436" t="s">
        <v>1308</v>
      </c>
    </row>
    <row r="437" spans="1:11" x14ac:dyDescent="0.2">
      <c r="A437">
        <v>8.7268579962917604E-45</v>
      </c>
      <c r="B437">
        <v>0.74552549860691297</v>
      </c>
      <c r="C437">
        <v>0.746</v>
      </c>
      <c r="D437">
        <v>0.16800000000000001</v>
      </c>
      <c r="E437">
        <v>1.35117942356585E-40</v>
      </c>
      <c r="F437">
        <v>1</v>
      </c>
      <c r="G437" t="s">
        <v>1309</v>
      </c>
      <c r="H437" t="s">
        <v>1310</v>
      </c>
      <c r="I437" t="s">
        <v>1309</v>
      </c>
      <c r="J437" s="1" t="str">
        <f>HYPERLINK("https://zfin.org/ZDB-GENE-040426-1784")</f>
        <v>https://zfin.org/ZDB-GENE-040426-1784</v>
      </c>
      <c r="K437" t="s">
        <v>1311</v>
      </c>
    </row>
    <row r="438" spans="1:11" x14ac:dyDescent="0.2">
      <c r="A438">
        <v>1.0406307499859E-44</v>
      </c>
      <c r="B438">
        <v>-1.17630473353648</v>
      </c>
      <c r="C438">
        <v>0.96499999999999997</v>
      </c>
      <c r="D438">
        <v>0.94399999999999995</v>
      </c>
      <c r="E438">
        <v>1.6112085902031701E-40</v>
      </c>
      <c r="F438">
        <v>1</v>
      </c>
      <c r="G438" t="s">
        <v>1312</v>
      </c>
      <c r="H438" t="s">
        <v>1313</v>
      </c>
      <c r="I438" t="s">
        <v>1312</v>
      </c>
      <c r="J438" s="1" t="str">
        <f>HYPERLINK("https://zfin.org/ZDB-GENE-040718-190")</f>
        <v>https://zfin.org/ZDB-GENE-040718-190</v>
      </c>
      <c r="K438" t="s">
        <v>1314</v>
      </c>
    </row>
    <row r="439" spans="1:11" x14ac:dyDescent="0.2">
      <c r="A439">
        <v>1.04755664361129E-44</v>
      </c>
      <c r="B439">
        <v>-0.98472913035682796</v>
      </c>
      <c r="C439">
        <v>1</v>
      </c>
      <c r="D439">
        <v>0.99099999999999999</v>
      </c>
      <c r="E439">
        <v>1.6219319513033499E-40</v>
      </c>
      <c r="F439">
        <v>1</v>
      </c>
      <c r="G439" t="s">
        <v>1315</v>
      </c>
      <c r="H439" t="s">
        <v>1316</v>
      </c>
      <c r="I439" t="s">
        <v>1315</v>
      </c>
      <c r="J439" s="1" t="str">
        <f>HYPERLINK("https://zfin.org/ZDB-GENE-040426-2284")</f>
        <v>https://zfin.org/ZDB-GENE-040426-2284</v>
      </c>
      <c r="K439" t="s">
        <v>1317</v>
      </c>
    </row>
    <row r="440" spans="1:11" x14ac:dyDescent="0.2">
      <c r="A440">
        <v>1.10360037648924E-44</v>
      </c>
      <c r="B440">
        <v>1.06439778147072</v>
      </c>
      <c r="C440">
        <v>0.96499999999999997</v>
      </c>
      <c r="D440">
        <v>0.40400000000000003</v>
      </c>
      <c r="E440">
        <v>1.7087044629182899E-40</v>
      </c>
      <c r="F440">
        <v>1</v>
      </c>
      <c r="G440" t="s">
        <v>1318</v>
      </c>
      <c r="H440" t="s">
        <v>1319</v>
      </c>
      <c r="I440" t="s">
        <v>1318</v>
      </c>
      <c r="J440" s="1" t="str">
        <f>HYPERLINK("https://zfin.org/ZDB-GENE-040718-162")</f>
        <v>https://zfin.org/ZDB-GENE-040718-162</v>
      </c>
      <c r="K440" t="s">
        <v>1320</v>
      </c>
    </row>
    <row r="441" spans="1:11" x14ac:dyDescent="0.2">
      <c r="A441">
        <v>1.15476822742217E-44</v>
      </c>
      <c r="B441">
        <v>0.79011173917920796</v>
      </c>
      <c r="C441">
        <v>0.92100000000000004</v>
      </c>
      <c r="D441">
        <v>0.25900000000000001</v>
      </c>
      <c r="E441">
        <v>1.78792764651775E-40</v>
      </c>
      <c r="F441">
        <v>1</v>
      </c>
      <c r="G441" t="s">
        <v>1321</v>
      </c>
      <c r="H441" t="s">
        <v>1322</v>
      </c>
      <c r="I441" t="s">
        <v>1321</v>
      </c>
      <c r="J441" s="1" t="str">
        <f>HYPERLINK("https://zfin.org/ZDB-GENE-040801-218")</f>
        <v>https://zfin.org/ZDB-GENE-040801-218</v>
      </c>
      <c r="K441" t="s">
        <v>1323</v>
      </c>
    </row>
    <row r="442" spans="1:11" x14ac:dyDescent="0.2">
      <c r="A442">
        <v>1.60081029405459E-44</v>
      </c>
      <c r="B442">
        <v>0.51880188397626603</v>
      </c>
      <c r="C442">
        <v>0.61399999999999999</v>
      </c>
      <c r="D442">
        <v>0.104</v>
      </c>
      <c r="E442">
        <v>2.47853457828473E-40</v>
      </c>
      <c r="F442">
        <v>1</v>
      </c>
      <c r="G442" t="s">
        <v>1324</v>
      </c>
      <c r="H442" t="s">
        <v>1325</v>
      </c>
      <c r="I442" t="s">
        <v>1324</v>
      </c>
      <c r="J442" s="1" t="str">
        <f>HYPERLINK("https://zfin.org/ZDB-GENE-030131-41")</f>
        <v>https://zfin.org/ZDB-GENE-030131-41</v>
      </c>
      <c r="K442" t="s">
        <v>1326</v>
      </c>
    </row>
    <row r="443" spans="1:11" x14ac:dyDescent="0.2">
      <c r="A443">
        <v>1.6008484096118699E-44</v>
      </c>
      <c r="B443">
        <v>0.25765161627326799</v>
      </c>
      <c r="C443">
        <v>0.184</v>
      </c>
      <c r="D443">
        <v>4.0000000000000001E-3</v>
      </c>
      <c r="E443">
        <v>2.4785935926020601E-40</v>
      </c>
      <c r="F443">
        <v>1</v>
      </c>
      <c r="G443" t="s">
        <v>1327</v>
      </c>
      <c r="H443" t="s">
        <v>1328</v>
      </c>
      <c r="I443" t="s">
        <v>1327</v>
      </c>
      <c r="J443" s="1" t="str">
        <f>HYPERLINK("https://zfin.org/ZDB-GENE-040120-1")</f>
        <v>https://zfin.org/ZDB-GENE-040120-1</v>
      </c>
      <c r="K443" t="s">
        <v>1329</v>
      </c>
    </row>
    <row r="444" spans="1:11" x14ac:dyDescent="0.2">
      <c r="A444">
        <v>3.9155853324811101E-44</v>
      </c>
      <c r="B444">
        <v>-1.04168801113109</v>
      </c>
      <c r="C444">
        <v>0.97399999999999998</v>
      </c>
      <c r="D444">
        <v>0.95399999999999996</v>
      </c>
      <c r="E444">
        <v>6.0625007702804999E-40</v>
      </c>
      <c r="F444">
        <v>1</v>
      </c>
      <c r="G444" t="s">
        <v>1330</v>
      </c>
      <c r="H444" t="s">
        <v>1331</v>
      </c>
      <c r="I444" t="s">
        <v>1330</v>
      </c>
      <c r="J444" s="1" t="str">
        <f>HYPERLINK("https://zfin.org/ZDB-GENE-040625-52")</f>
        <v>https://zfin.org/ZDB-GENE-040625-52</v>
      </c>
      <c r="K444" t="s">
        <v>1332</v>
      </c>
    </row>
    <row r="445" spans="1:11" x14ac:dyDescent="0.2">
      <c r="A445">
        <v>4.4977612266759101E-44</v>
      </c>
      <c r="B445">
        <v>-1.0365051236751599</v>
      </c>
      <c r="C445">
        <v>0.96499999999999997</v>
      </c>
      <c r="D445">
        <v>0.96199999999999997</v>
      </c>
      <c r="E445">
        <v>6.9638837072623198E-40</v>
      </c>
      <c r="F445">
        <v>1</v>
      </c>
      <c r="G445" t="s">
        <v>1333</v>
      </c>
      <c r="H445" t="s">
        <v>1334</v>
      </c>
      <c r="I445" t="s">
        <v>1333</v>
      </c>
      <c r="J445" s="1" t="str">
        <f>HYPERLINK("https://zfin.org/ZDB-GENE-030131-8626")</f>
        <v>https://zfin.org/ZDB-GENE-030131-8626</v>
      </c>
      <c r="K445" t="s">
        <v>1335</v>
      </c>
    </row>
    <row r="446" spans="1:11" x14ac:dyDescent="0.2">
      <c r="A446">
        <v>4.6638210600238597E-44</v>
      </c>
      <c r="B446">
        <v>0.41175922577403301</v>
      </c>
      <c r="C446">
        <v>0.29799999999999999</v>
      </c>
      <c r="D446">
        <v>2.1999999999999999E-2</v>
      </c>
      <c r="E446">
        <v>7.2209941472349402E-40</v>
      </c>
      <c r="F446">
        <v>1</v>
      </c>
      <c r="G446" t="s">
        <v>1336</v>
      </c>
      <c r="H446" t="s">
        <v>1337</v>
      </c>
      <c r="I446" t="s">
        <v>1336</v>
      </c>
      <c r="J446" s="1" t="str">
        <f>HYPERLINK("https://zfin.org/ZDB-GENE-041210-345")</f>
        <v>https://zfin.org/ZDB-GENE-041210-345</v>
      </c>
      <c r="K446" t="s">
        <v>1338</v>
      </c>
    </row>
    <row r="447" spans="1:11" x14ac:dyDescent="0.2">
      <c r="A447">
        <v>6.3452779782849402E-44</v>
      </c>
      <c r="B447">
        <v>0.41868363080001503</v>
      </c>
      <c r="C447">
        <v>0.377</v>
      </c>
      <c r="D447">
        <v>3.7999999999999999E-2</v>
      </c>
      <c r="E447">
        <v>9.8243938937785795E-40</v>
      </c>
      <c r="F447">
        <v>1</v>
      </c>
      <c r="G447" t="s">
        <v>1339</v>
      </c>
      <c r="H447" t="s">
        <v>1340</v>
      </c>
      <c r="I447" t="s">
        <v>1339</v>
      </c>
      <c r="J447" s="1" t="str">
        <f>HYPERLINK("https://zfin.org/ZDB-GENE-030131-5673")</f>
        <v>https://zfin.org/ZDB-GENE-030131-5673</v>
      </c>
      <c r="K447" t="s">
        <v>1341</v>
      </c>
    </row>
    <row r="448" spans="1:11" x14ac:dyDescent="0.2">
      <c r="A448">
        <v>8.5216362370570796E-44</v>
      </c>
      <c r="B448">
        <v>-1.6243470597666001</v>
      </c>
      <c r="C448">
        <v>0.82499999999999996</v>
      </c>
      <c r="D448">
        <v>0.92500000000000004</v>
      </c>
      <c r="E448">
        <v>1.3194049385835499E-39</v>
      </c>
      <c r="F448">
        <v>1</v>
      </c>
      <c r="G448" t="s">
        <v>1342</v>
      </c>
      <c r="H448" t="s">
        <v>1343</v>
      </c>
      <c r="I448" t="s">
        <v>1342</v>
      </c>
      <c r="J448" s="1" t="str">
        <f>HYPERLINK("https://zfin.org/ZDB-GENE-040426-2172")</f>
        <v>https://zfin.org/ZDB-GENE-040426-2172</v>
      </c>
      <c r="K448" t="s">
        <v>1344</v>
      </c>
    </row>
    <row r="449" spans="1:11" x14ac:dyDescent="0.2">
      <c r="A449">
        <v>8.6409251385823696E-44</v>
      </c>
      <c r="B449">
        <v>0.25618355993846997</v>
      </c>
      <c r="C449">
        <v>0.17499999999999999</v>
      </c>
      <c r="D449">
        <v>4.0000000000000001E-3</v>
      </c>
      <c r="E449">
        <v>1.33787443920671E-39</v>
      </c>
      <c r="F449">
        <v>1</v>
      </c>
      <c r="G449" t="s">
        <v>1345</v>
      </c>
      <c r="H449" t="s">
        <v>1346</v>
      </c>
      <c r="I449" t="s">
        <v>1345</v>
      </c>
      <c r="J449" s="1" t="str">
        <f>HYPERLINK("https://zfin.org/ZDB-GENE-051113-196")</f>
        <v>https://zfin.org/ZDB-GENE-051113-196</v>
      </c>
      <c r="K449" t="s">
        <v>1347</v>
      </c>
    </row>
    <row r="450" spans="1:11" x14ac:dyDescent="0.2">
      <c r="A450">
        <v>1.2718496793037301E-43</v>
      </c>
      <c r="B450">
        <v>0.58920123550359305</v>
      </c>
      <c r="C450">
        <v>0.56999999999999995</v>
      </c>
      <c r="D450">
        <v>9.7000000000000003E-2</v>
      </c>
      <c r="E450">
        <v>1.96920485846596E-39</v>
      </c>
      <c r="F450">
        <v>1</v>
      </c>
      <c r="G450" t="s">
        <v>1348</v>
      </c>
      <c r="H450" t="s">
        <v>1349</v>
      </c>
      <c r="I450" t="s">
        <v>1348</v>
      </c>
      <c r="J450" s="1" t="str">
        <f>HYPERLINK("https://zfin.org/ZDB-GENE-030131-9642")</f>
        <v>https://zfin.org/ZDB-GENE-030131-9642</v>
      </c>
      <c r="K450" t="s">
        <v>1350</v>
      </c>
    </row>
    <row r="451" spans="1:11" x14ac:dyDescent="0.2">
      <c r="A451">
        <v>1.8128952332541299E-43</v>
      </c>
      <c r="B451">
        <v>0.39725322858732598</v>
      </c>
      <c r="C451">
        <v>0.33300000000000002</v>
      </c>
      <c r="D451">
        <v>0.03</v>
      </c>
      <c r="E451">
        <v>2.8069056896473598E-39</v>
      </c>
      <c r="F451">
        <v>1</v>
      </c>
      <c r="G451" t="s">
        <v>1351</v>
      </c>
      <c r="H451" t="s">
        <v>1352</v>
      </c>
      <c r="I451" t="s">
        <v>1351</v>
      </c>
      <c r="J451" s="1" t="str">
        <f>HYPERLINK("https://zfin.org/ZDB-GENE-990714-19")</f>
        <v>https://zfin.org/ZDB-GENE-990714-19</v>
      </c>
      <c r="K451" t="s">
        <v>1353</v>
      </c>
    </row>
    <row r="452" spans="1:11" x14ac:dyDescent="0.2">
      <c r="A452">
        <v>1.84918206722002E-43</v>
      </c>
      <c r="B452">
        <v>0.39097853455832099</v>
      </c>
      <c r="C452">
        <v>0.36</v>
      </c>
      <c r="D452">
        <v>3.5000000000000003E-2</v>
      </c>
      <c r="E452">
        <v>2.8630885946767499E-39</v>
      </c>
      <c r="F452">
        <v>1</v>
      </c>
      <c r="G452" t="s">
        <v>1354</v>
      </c>
      <c r="H452" t="s">
        <v>1355</v>
      </c>
      <c r="I452" t="s">
        <v>1354</v>
      </c>
      <c r="J452" s="1" t="str">
        <f>HYPERLINK("https://zfin.org/ZDB-GENE-030131-9020")</f>
        <v>https://zfin.org/ZDB-GENE-030131-9020</v>
      </c>
      <c r="K452" t="s">
        <v>1356</v>
      </c>
    </row>
    <row r="453" spans="1:11" x14ac:dyDescent="0.2">
      <c r="A453">
        <v>2.0863971124911898E-43</v>
      </c>
      <c r="B453">
        <v>0.27951182992336998</v>
      </c>
      <c r="C453">
        <v>0.193</v>
      </c>
      <c r="D453">
        <v>6.0000000000000001E-3</v>
      </c>
      <c r="E453">
        <v>3.23036864927011E-39</v>
      </c>
      <c r="F453">
        <v>1</v>
      </c>
      <c r="G453" t="s">
        <v>1357</v>
      </c>
      <c r="H453" t="s">
        <v>1358</v>
      </c>
      <c r="I453" t="s">
        <v>1357</v>
      </c>
      <c r="J453" s="1" t="str">
        <f>HYPERLINK("https://zfin.org/ZDB-GENE-040426-1243")</f>
        <v>https://zfin.org/ZDB-GENE-040426-1243</v>
      </c>
      <c r="K453" t="s">
        <v>1359</v>
      </c>
    </row>
    <row r="454" spans="1:11" x14ac:dyDescent="0.2">
      <c r="A454">
        <v>2.4269640551669201E-43</v>
      </c>
      <c r="B454">
        <v>-1.0014118914559</v>
      </c>
      <c r="C454">
        <v>1</v>
      </c>
      <c r="D454">
        <v>0.97199999999999998</v>
      </c>
      <c r="E454">
        <v>3.7576684466149401E-39</v>
      </c>
      <c r="F454">
        <v>1</v>
      </c>
      <c r="G454" t="s">
        <v>1360</v>
      </c>
      <c r="H454" t="s">
        <v>1361</v>
      </c>
      <c r="I454" t="s">
        <v>1360</v>
      </c>
      <c r="J454" s="1" t="str">
        <f>HYPERLINK("https://zfin.org/ZDB-GENE-030131-8708")</f>
        <v>https://zfin.org/ZDB-GENE-030131-8708</v>
      </c>
      <c r="K454" t="s">
        <v>1362</v>
      </c>
    </row>
    <row r="455" spans="1:11" x14ac:dyDescent="0.2">
      <c r="A455">
        <v>3.0745598710569201E-43</v>
      </c>
      <c r="B455">
        <v>-1.8457243421178999</v>
      </c>
      <c r="C455">
        <v>0.623</v>
      </c>
      <c r="D455">
        <v>0.89600000000000002</v>
      </c>
      <c r="E455">
        <v>4.76034104835743E-39</v>
      </c>
      <c r="F455">
        <v>1</v>
      </c>
      <c r="G455" t="s">
        <v>1363</v>
      </c>
      <c r="H455" t="s">
        <v>1364</v>
      </c>
      <c r="I455" t="s">
        <v>1363</v>
      </c>
      <c r="J455" s="1" t="str">
        <f>HYPERLINK("https://zfin.org/ZDB-GENE-031002-9")</f>
        <v>https://zfin.org/ZDB-GENE-031002-9</v>
      </c>
      <c r="K455" t="s">
        <v>1365</v>
      </c>
    </row>
    <row r="456" spans="1:11" x14ac:dyDescent="0.2">
      <c r="A456">
        <v>4.6475257358066702E-43</v>
      </c>
      <c r="B456">
        <v>0.38210885830017099</v>
      </c>
      <c r="C456">
        <v>0.35099999999999998</v>
      </c>
      <c r="D456">
        <v>3.3000000000000002E-2</v>
      </c>
      <c r="E456">
        <v>7.1957640967494705E-39</v>
      </c>
      <c r="F456">
        <v>1</v>
      </c>
      <c r="G456" t="s">
        <v>1366</v>
      </c>
      <c r="H456" t="s">
        <v>1367</v>
      </c>
      <c r="I456" t="s">
        <v>1366</v>
      </c>
      <c r="J456" s="1" t="str">
        <f>HYPERLINK("https://zfin.org/ZDB-GENE-040426-1690")</f>
        <v>https://zfin.org/ZDB-GENE-040426-1690</v>
      </c>
      <c r="K456" t="s">
        <v>1368</v>
      </c>
    </row>
    <row r="457" spans="1:11" x14ac:dyDescent="0.2">
      <c r="A457">
        <v>4.9620282460991098E-43</v>
      </c>
      <c r="B457">
        <v>0.33826351138147598</v>
      </c>
      <c r="C457">
        <v>0.22800000000000001</v>
      </c>
      <c r="D457">
        <v>1.0999999999999999E-2</v>
      </c>
      <c r="E457">
        <v>7.6827083334352506E-39</v>
      </c>
      <c r="F457">
        <v>1</v>
      </c>
      <c r="G457" t="s">
        <v>1369</v>
      </c>
      <c r="H457" t="s">
        <v>1370</v>
      </c>
      <c r="I457" t="s">
        <v>1369</v>
      </c>
      <c r="J457" s="1" t="str">
        <f>HYPERLINK("https://zfin.org/ZDB-GENE-040718-390")</f>
        <v>https://zfin.org/ZDB-GENE-040718-390</v>
      </c>
      <c r="K457" t="s">
        <v>1371</v>
      </c>
    </row>
    <row r="458" spans="1:11" x14ac:dyDescent="0.2">
      <c r="A458">
        <v>7.5675712411783104E-43</v>
      </c>
      <c r="B458">
        <v>0.82780531073251495</v>
      </c>
      <c r="C458">
        <v>0.46500000000000002</v>
      </c>
      <c r="D458">
        <v>6.7000000000000004E-2</v>
      </c>
      <c r="E458">
        <v>1.17168705527164E-38</v>
      </c>
      <c r="F458">
        <v>1</v>
      </c>
      <c r="G458" t="s">
        <v>1372</v>
      </c>
      <c r="H458" t="s">
        <v>1373</v>
      </c>
      <c r="I458" t="s">
        <v>1372</v>
      </c>
      <c r="J458" s="1" t="str">
        <f>HYPERLINK("https://zfin.org/ZDB-GENE-020103-2")</f>
        <v>https://zfin.org/ZDB-GENE-020103-2</v>
      </c>
      <c r="K458" t="s">
        <v>1374</v>
      </c>
    </row>
    <row r="459" spans="1:11" x14ac:dyDescent="0.2">
      <c r="A459">
        <v>7.5943194464432705E-43</v>
      </c>
      <c r="B459">
        <v>0.33111919722757999</v>
      </c>
      <c r="C459">
        <v>0.22800000000000001</v>
      </c>
      <c r="D459">
        <v>1.0999999999999999E-2</v>
      </c>
      <c r="E459">
        <v>1.1758284798928099E-38</v>
      </c>
      <c r="F459">
        <v>1</v>
      </c>
      <c r="G459" t="s">
        <v>1375</v>
      </c>
      <c r="H459" t="s">
        <v>1376</v>
      </c>
      <c r="I459" t="s">
        <v>1375</v>
      </c>
      <c r="J459" s="1" t="str">
        <f>HYPERLINK("https://zfin.org/ZDB-GENE-050417-271")</f>
        <v>https://zfin.org/ZDB-GENE-050417-271</v>
      </c>
      <c r="K459" t="s">
        <v>1377</v>
      </c>
    </row>
    <row r="460" spans="1:11" x14ac:dyDescent="0.2">
      <c r="A460">
        <v>8.3200140621624003E-43</v>
      </c>
      <c r="B460">
        <v>0.48361004041644501</v>
      </c>
      <c r="C460">
        <v>0.42099999999999999</v>
      </c>
      <c r="D460">
        <v>5.1999999999999998E-2</v>
      </c>
      <c r="E460">
        <v>1.2881877772446E-38</v>
      </c>
      <c r="F460">
        <v>1</v>
      </c>
      <c r="G460" t="s">
        <v>1378</v>
      </c>
      <c r="H460" t="s">
        <v>1379</v>
      </c>
      <c r="I460" t="s">
        <v>1378</v>
      </c>
      <c r="J460" s="1" t="str">
        <f>HYPERLINK("https://zfin.org/ZDB-GENE-040426-1663")</f>
        <v>https://zfin.org/ZDB-GENE-040426-1663</v>
      </c>
      <c r="K460" t="s">
        <v>1380</v>
      </c>
    </row>
    <row r="461" spans="1:11" x14ac:dyDescent="0.2">
      <c r="A461">
        <v>1.21266088721095E-42</v>
      </c>
      <c r="B461">
        <v>0.271219580666822</v>
      </c>
      <c r="C461">
        <v>0.184</v>
      </c>
      <c r="D461">
        <v>5.0000000000000001E-3</v>
      </c>
      <c r="E461">
        <v>1.87756285166871E-38</v>
      </c>
      <c r="F461">
        <v>1</v>
      </c>
      <c r="G461" t="s">
        <v>1381</v>
      </c>
      <c r="H461" t="s">
        <v>1382</v>
      </c>
      <c r="I461" t="s">
        <v>1381</v>
      </c>
      <c r="J461" s="1" t="str">
        <f>HYPERLINK("https://zfin.org/ZDB-GENE-061013-39")</f>
        <v>https://zfin.org/ZDB-GENE-061013-39</v>
      </c>
      <c r="K461" t="s">
        <v>1383</v>
      </c>
    </row>
    <row r="462" spans="1:11" x14ac:dyDescent="0.2">
      <c r="A462">
        <v>1.2952146669173401E-42</v>
      </c>
      <c r="B462">
        <v>0.29774828728359598</v>
      </c>
      <c r="C462">
        <v>0.20200000000000001</v>
      </c>
      <c r="D462">
        <v>7.0000000000000001E-3</v>
      </c>
      <c r="E462">
        <v>2.00538086878811E-38</v>
      </c>
      <c r="F462">
        <v>1</v>
      </c>
      <c r="G462" t="s">
        <v>1384</v>
      </c>
      <c r="H462" t="s">
        <v>1385</v>
      </c>
      <c r="I462" t="s">
        <v>1384</v>
      </c>
      <c r="J462" s="1" t="str">
        <f>HYPERLINK("https://zfin.org/ZDB-GENE-070705-190")</f>
        <v>https://zfin.org/ZDB-GENE-070705-190</v>
      </c>
      <c r="K462" t="s">
        <v>1386</v>
      </c>
    </row>
    <row r="463" spans="1:11" x14ac:dyDescent="0.2">
      <c r="A463">
        <v>1.31096038736032E-42</v>
      </c>
      <c r="B463">
        <v>0.30578692267691898</v>
      </c>
      <c r="C463">
        <v>0.20200000000000001</v>
      </c>
      <c r="D463">
        <v>7.0000000000000001E-3</v>
      </c>
      <c r="E463">
        <v>2.02975996774999E-38</v>
      </c>
      <c r="F463">
        <v>1</v>
      </c>
      <c r="G463" t="s">
        <v>1387</v>
      </c>
      <c r="H463" t="s">
        <v>1388</v>
      </c>
      <c r="I463" t="s">
        <v>1387</v>
      </c>
      <c r="J463" s="1" t="str">
        <f>HYPERLINK("https://zfin.org/ZDB-GENE-141216-459")</f>
        <v>https://zfin.org/ZDB-GENE-141216-459</v>
      </c>
      <c r="K463" t="s">
        <v>1389</v>
      </c>
    </row>
    <row r="464" spans="1:11" x14ac:dyDescent="0.2">
      <c r="A464">
        <v>1.4952957131827999E-42</v>
      </c>
      <c r="B464">
        <v>0.25913114305961099</v>
      </c>
      <c r="C464">
        <v>0.184</v>
      </c>
      <c r="D464">
        <v>5.0000000000000001E-3</v>
      </c>
      <c r="E464">
        <v>2.31516635272093E-38</v>
      </c>
      <c r="F464">
        <v>1</v>
      </c>
      <c r="G464" t="s">
        <v>1390</v>
      </c>
      <c r="H464" t="s">
        <v>1391</v>
      </c>
      <c r="I464" t="s">
        <v>1390</v>
      </c>
      <c r="J464" s="1" t="str">
        <f>HYPERLINK("https://zfin.org/ZDB-GENE-091204-271")</f>
        <v>https://zfin.org/ZDB-GENE-091204-271</v>
      </c>
      <c r="K464" t="s">
        <v>1392</v>
      </c>
    </row>
    <row r="465" spans="1:11" x14ac:dyDescent="0.2">
      <c r="A465">
        <v>1.55400426965197E-42</v>
      </c>
      <c r="B465">
        <v>-0.82798287684004002</v>
      </c>
      <c r="C465">
        <v>1</v>
      </c>
      <c r="D465">
        <v>0.98599999999999999</v>
      </c>
      <c r="E465">
        <v>2.4060648107021498E-38</v>
      </c>
      <c r="F465">
        <v>1</v>
      </c>
      <c r="G465" t="s">
        <v>1393</v>
      </c>
      <c r="H465" t="s">
        <v>1394</v>
      </c>
      <c r="I465" t="s">
        <v>1393</v>
      </c>
      <c r="J465" s="1" t="str">
        <f>HYPERLINK("https://zfin.org/ZDB-GENE-040426-1716")</f>
        <v>https://zfin.org/ZDB-GENE-040426-1716</v>
      </c>
      <c r="K465" t="s">
        <v>1395</v>
      </c>
    </row>
    <row r="466" spans="1:11" x14ac:dyDescent="0.2">
      <c r="A466">
        <v>1.7023593947561601E-42</v>
      </c>
      <c r="B466">
        <v>0.44454522041250299</v>
      </c>
      <c r="C466">
        <v>0.36</v>
      </c>
      <c r="D466">
        <v>3.5999999999999997E-2</v>
      </c>
      <c r="E466">
        <v>2.6357630509009699E-38</v>
      </c>
      <c r="F466">
        <v>1</v>
      </c>
      <c r="G466" t="s">
        <v>1396</v>
      </c>
      <c r="H466" t="s">
        <v>1397</v>
      </c>
      <c r="I466" t="s">
        <v>1396</v>
      </c>
      <c r="J466" s="1" t="str">
        <f>HYPERLINK("https://zfin.org/ZDB-GENE-040426-2737")</f>
        <v>https://zfin.org/ZDB-GENE-040426-2737</v>
      </c>
      <c r="K466" t="s">
        <v>1398</v>
      </c>
    </row>
    <row r="467" spans="1:11" x14ac:dyDescent="0.2">
      <c r="A467">
        <v>1.7547309437373701E-42</v>
      </c>
      <c r="B467">
        <v>0.25499305407600598</v>
      </c>
      <c r="C467">
        <v>0.14899999999999999</v>
      </c>
      <c r="D467">
        <v>1E-3</v>
      </c>
      <c r="E467">
        <v>2.71684992018857E-38</v>
      </c>
      <c r="F467">
        <v>1</v>
      </c>
      <c r="G467" t="s">
        <v>1399</v>
      </c>
      <c r="H467" t="s">
        <v>1400</v>
      </c>
      <c r="I467" t="s">
        <v>1399</v>
      </c>
      <c r="J467" s="1" t="str">
        <f>HYPERLINK("https://zfin.org/ZDB-GENE-090312-134")</f>
        <v>https://zfin.org/ZDB-GENE-090312-134</v>
      </c>
      <c r="K467" t="s">
        <v>1401</v>
      </c>
    </row>
    <row r="468" spans="1:11" x14ac:dyDescent="0.2">
      <c r="A468">
        <v>2.1274953035986301E-42</v>
      </c>
      <c r="B468">
        <v>-1.06324003148906</v>
      </c>
      <c r="C468">
        <v>0.93</v>
      </c>
      <c r="D468">
        <v>0.95699999999999996</v>
      </c>
      <c r="E468">
        <v>3.2940009785617598E-38</v>
      </c>
      <c r="F468">
        <v>1</v>
      </c>
      <c r="G468" t="s">
        <v>1402</v>
      </c>
      <c r="H468" t="s">
        <v>1403</v>
      </c>
      <c r="I468" t="s">
        <v>1402</v>
      </c>
      <c r="J468" s="1" t="str">
        <f>HYPERLINK("https://zfin.org/ZDB-GENE-030131-8752")</f>
        <v>https://zfin.org/ZDB-GENE-030131-8752</v>
      </c>
      <c r="K468" t="s">
        <v>1404</v>
      </c>
    </row>
    <row r="469" spans="1:11" x14ac:dyDescent="0.2">
      <c r="A469">
        <v>6.5100570622822302E-42</v>
      </c>
      <c r="B469">
        <v>0.37378005275394199</v>
      </c>
      <c r="C469">
        <v>0.26300000000000001</v>
      </c>
      <c r="D469">
        <v>1.7000000000000001E-2</v>
      </c>
      <c r="E469">
        <v>1.0079521349531599E-37</v>
      </c>
      <c r="F469">
        <v>1</v>
      </c>
      <c r="G469" t="s">
        <v>1405</v>
      </c>
      <c r="H469" t="s">
        <v>1406</v>
      </c>
      <c r="I469" t="s">
        <v>1405</v>
      </c>
      <c r="J469" s="1" t="str">
        <f>HYPERLINK("https://zfin.org/ZDB-GENE-060312-41")</f>
        <v>https://zfin.org/ZDB-GENE-060312-41</v>
      </c>
      <c r="K469" t="s">
        <v>1407</v>
      </c>
    </row>
    <row r="470" spans="1:11" x14ac:dyDescent="0.2">
      <c r="A470">
        <v>6.7296368905126695E-42</v>
      </c>
      <c r="B470">
        <v>0.322530378147865</v>
      </c>
      <c r="C470">
        <v>0.23699999999999999</v>
      </c>
      <c r="D470">
        <v>1.2999999999999999E-2</v>
      </c>
      <c r="E470">
        <v>1.04194967975808E-37</v>
      </c>
      <c r="F470">
        <v>1</v>
      </c>
      <c r="G470" t="s">
        <v>1408</v>
      </c>
      <c r="H470" t="s">
        <v>1409</v>
      </c>
      <c r="I470" t="s">
        <v>1408</v>
      </c>
      <c r="J470" s="1" t="str">
        <f>HYPERLINK("https://zfin.org/ZDB-GENE-060503-312")</f>
        <v>https://zfin.org/ZDB-GENE-060503-312</v>
      </c>
      <c r="K470" t="s">
        <v>1410</v>
      </c>
    </row>
    <row r="471" spans="1:11" x14ac:dyDescent="0.2">
      <c r="A471">
        <v>7.0642332066187901E-42</v>
      </c>
      <c r="B471">
        <v>0.51580153574395804</v>
      </c>
      <c r="C471">
        <v>0.50900000000000001</v>
      </c>
      <c r="D471">
        <v>7.8E-2</v>
      </c>
      <c r="E471">
        <v>1.09375522738079E-37</v>
      </c>
      <c r="F471">
        <v>1</v>
      </c>
      <c r="G471" t="s">
        <v>1411</v>
      </c>
      <c r="H471" t="s">
        <v>1412</v>
      </c>
      <c r="I471" t="s">
        <v>1411</v>
      </c>
      <c r="J471" s="1" t="str">
        <f>HYPERLINK("https://zfin.org/ZDB-GENE-030131-5906")</f>
        <v>https://zfin.org/ZDB-GENE-030131-5906</v>
      </c>
      <c r="K471" t="s">
        <v>1413</v>
      </c>
    </row>
    <row r="472" spans="1:11" x14ac:dyDescent="0.2">
      <c r="A472">
        <v>8.9649597852151604E-42</v>
      </c>
      <c r="B472">
        <v>0.33177700899648999</v>
      </c>
      <c r="C472">
        <v>0.27200000000000002</v>
      </c>
      <c r="D472">
        <v>1.7999999999999999E-2</v>
      </c>
      <c r="E472">
        <v>1.3880447235448601E-37</v>
      </c>
      <c r="F472">
        <v>1</v>
      </c>
      <c r="G472" t="s">
        <v>1414</v>
      </c>
      <c r="H472" t="s">
        <v>1415</v>
      </c>
      <c r="I472" t="s">
        <v>1414</v>
      </c>
      <c r="J472" s="1" t="str">
        <f>HYPERLINK("https://zfin.org/")</f>
        <v>https://zfin.org/</v>
      </c>
      <c r="K472" t="s">
        <v>1416</v>
      </c>
    </row>
    <row r="473" spans="1:11" x14ac:dyDescent="0.2">
      <c r="A473">
        <v>9.3264183144544605E-42</v>
      </c>
      <c r="B473">
        <v>0.51959472019573605</v>
      </c>
      <c r="C473">
        <v>0.43</v>
      </c>
      <c r="D473">
        <v>5.5E-2</v>
      </c>
      <c r="E473">
        <v>1.44400934762698E-37</v>
      </c>
      <c r="F473">
        <v>1</v>
      </c>
      <c r="G473" t="s">
        <v>1417</v>
      </c>
      <c r="H473" t="s">
        <v>1418</v>
      </c>
      <c r="I473" t="s">
        <v>1417</v>
      </c>
      <c r="J473" s="1" t="str">
        <f>HYPERLINK("https://zfin.org/ZDB-GENE-040426-2505")</f>
        <v>https://zfin.org/ZDB-GENE-040426-2505</v>
      </c>
      <c r="K473" t="s">
        <v>1419</v>
      </c>
    </row>
    <row r="474" spans="1:11" x14ac:dyDescent="0.2">
      <c r="A474">
        <v>9.7969818439905798E-42</v>
      </c>
      <c r="B474">
        <v>0.51118323584543301</v>
      </c>
      <c r="C474">
        <v>0.43</v>
      </c>
      <c r="D474">
        <v>5.5E-2</v>
      </c>
      <c r="E474">
        <v>1.5168666989050601E-37</v>
      </c>
      <c r="F474">
        <v>1</v>
      </c>
      <c r="G474" t="s">
        <v>1420</v>
      </c>
      <c r="H474" t="s">
        <v>1421</v>
      </c>
      <c r="I474" t="s">
        <v>1420</v>
      </c>
      <c r="J474" s="1" t="str">
        <f>HYPERLINK("https://zfin.org/ZDB-GENE-090313-227")</f>
        <v>https://zfin.org/ZDB-GENE-090313-227</v>
      </c>
      <c r="K474" t="s">
        <v>1422</v>
      </c>
    </row>
    <row r="475" spans="1:11" x14ac:dyDescent="0.2">
      <c r="A475">
        <v>1.25021963629319E-41</v>
      </c>
      <c r="B475">
        <v>0.46190052705024598</v>
      </c>
      <c r="C475">
        <v>0.32500000000000001</v>
      </c>
      <c r="D475">
        <v>0.03</v>
      </c>
      <c r="E475">
        <v>1.9357150628727402E-37</v>
      </c>
      <c r="F475">
        <v>1</v>
      </c>
      <c r="G475" t="s">
        <v>1423</v>
      </c>
      <c r="H475" t="s">
        <v>1424</v>
      </c>
      <c r="I475" t="s">
        <v>1423</v>
      </c>
      <c r="J475" s="1" t="str">
        <f>HYPERLINK("https://zfin.org/ZDB-GENE-080225-36")</f>
        <v>https://zfin.org/ZDB-GENE-080225-36</v>
      </c>
      <c r="K475" t="s">
        <v>1425</v>
      </c>
    </row>
    <row r="476" spans="1:11" x14ac:dyDescent="0.2">
      <c r="A476">
        <v>1.38151727498127E-41</v>
      </c>
      <c r="B476">
        <v>0.253122867354654</v>
      </c>
      <c r="C476">
        <v>0.193</v>
      </c>
      <c r="D476">
        <v>6.0000000000000001E-3</v>
      </c>
      <c r="E476">
        <v>2.1390031968535002E-37</v>
      </c>
      <c r="F476">
        <v>1</v>
      </c>
      <c r="G476" t="s">
        <v>1426</v>
      </c>
      <c r="H476" t="s">
        <v>1427</v>
      </c>
      <c r="I476" t="s">
        <v>1426</v>
      </c>
      <c r="J476" s="1" t="str">
        <f>HYPERLINK("https://zfin.org/ZDB-GENE-060621-1")</f>
        <v>https://zfin.org/ZDB-GENE-060621-1</v>
      </c>
      <c r="K476" t="s">
        <v>1428</v>
      </c>
    </row>
    <row r="477" spans="1:11" x14ac:dyDescent="0.2">
      <c r="A477">
        <v>1.4282987878030999E-41</v>
      </c>
      <c r="B477">
        <v>0.93371401218971195</v>
      </c>
      <c r="C477">
        <v>0.92100000000000004</v>
      </c>
      <c r="D477">
        <v>0.36499999999999999</v>
      </c>
      <c r="E477">
        <v>2.2114350131555301E-37</v>
      </c>
      <c r="F477">
        <v>1</v>
      </c>
      <c r="G477" t="s">
        <v>1429</v>
      </c>
      <c r="H477" t="s">
        <v>1430</v>
      </c>
      <c r="I477" t="s">
        <v>1429</v>
      </c>
      <c r="J477" s="1" t="str">
        <f>HYPERLINK("https://zfin.org/ZDB-GENE-030131-8410")</f>
        <v>https://zfin.org/ZDB-GENE-030131-8410</v>
      </c>
      <c r="K477" t="s">
        <v>1431</v>
      </c>
    </row>
    <row r="478" spans="1:11" x14ac:dyDescent="0.2">
      <c r="A478">
        <v>1.43186197670943E-41</v>
      </c>
      <c r="B478">
        <v>0.46542410803955397</v>
      </c>
      <c r="C478">
        <v>0.38600000000000001</v>
      </c>
      <c r="D478">
        <v>4.3999999999999997E-2</v>
      </c>
      <c r="E478">
        <v>2.2169518985392101E-37</v>
      </c>
      <c r="F478">
        <v>1</v>
      </c>
      <c r="G478" t="s">
        <v>1432</v>
      </c>
      <c r="H478" t="s">
        <v>1433</v>
      </c>
      <c r="I478" t="s">
        <v>1432</v>
      </c>
      <c r="J478" s="1" t="str">
        <f>HYPERLINK("https://zfin.org/ZDB-GENE-131127-114")</f>
        <v>https://zfin.org/ZDB-GENE-131127-114</v>
      </c>
      <c r="K478" t="s">
        <v>1434</v>
      </c>
    </row>
    <row r="479" spans="1:11" x14ac:dyDescent="0.2">
      <c r="A479">
        <v>1.71787855403549E-41</v>
      </c>
      <c r="B479">
        <v>-0.89548758405731399</v>
      </c>
      <c r="C479">
        <v>0.98199999999999998</v>
      </c>
      <c r="D479">
        <v>0.97799999999999998</v>
      </c>
      <c r="E479">
        <v>2.6597913652131402E-37</v>
      </c>
      <c r="F479">
        <v>1</v>
      </c>
      <c r="G479" t="s">
        <v>1435</v>
      </c>
      <c r="H479" t="s">
        <v>1436</v>
      </c>
      <c r="I479" t="s">
        <v>1435</v>
      </c>
      <c r="J479" s="1" t="str">
        <f>HYPERLINK("https://zfin.org/ZDB-GENE-040801-165")</f>
        <v>https://zfin.org/ZDB-GENE-040801-165</v>
      </c>
      <c r="K479" t="s">
        <v>1437</v>
      </c>
    </row>
    <row r="480" spans="1:11" x14ac:dyDescent="0.2">
      <c r="A480">
        <v>2.0988918166533699E-41</v>
      </c>
      <c r="B480">
        <v>-1.4790612385695501</v>
      </c>
      <c r="C480">
        <v>0.877</v>
      </c>
      <c r="D480">
        <v>0.94299999999999995</v>
      </c>
      <c r="E480">
        <v>3.24971419972441E-37</v>
      </c>
      <c r="F480">
        <v>1</v>
      </c>
      <c r="G480" t="s">
        <v>1438</v>
      </c>
      <c r="H480" t="s">
        <v>1439</v>
      </c>
      <c r="I480" t="s">
        <v>1438</v>
      </c>
      <c r="J480" s="1" t="str">
        <f>HYPERLINK("https://zfin.org/ZDB-GENE-030131-1819")</f>
        <v>https://zfin.org/ZDB-GENE-030131-1819</v>
      </c>
      <c r="K480" t="s">
        <v>1440</v>
      </c>
    </row>
    <row r="481" spans="1:11" x14ac:dyDescent="0.2">
      <c r="A481">
        <v>2.7892965775023399E-41</v>
      </c>
      <c r="B481">
        <v>0.38871126268580902</v>
      </c>
      <c r="C481">
        <v>0.34200000000000003</v>
      </c>
      <c r="D481">
        <v>3.3000000000000002E-2</v>
      </c>
      <c r="E481">
        <v>4.3186678909468697E-37</v>
      </c>
      <c r="F481">
        <v>1</v>
      </c>
      <c r="G481" t="s">
        <v>1441</v>
      </c>
      <c r="H481" t="s">
        <v>1442</v>
      </c>
      <c r="I481" t="s">
        <v>1441</v>
      </c>
      <c r="J481" s="1" t="str">
        <f>HYPERLINK("https://zfin.org/ZDB-GENE-020228-2")</f>
        <v>https://zfin.org/ZDB-GENE-020228-2</v>
      </c>
      <c r="K481" t="s">
        <v>1443</v>
      </c>
    </row>
    <row r="482" spans="1:11" x14ac:dyDescent="0.2">
      <c r="A482">
        <v>2.87774416249788E-41</v>
      </c>
      <c r="B482">
        <v>0.43891291825401202</v>
      </c>
      <c r="C482">
        <v>0.29799999999999999</v>
      </c>
      <c r="D482">
        <v>2.4E-2</v>
      </c>
      <c r="E482">
        <v>4.4556112867954701E-37</v>
      </c>
      <c r="F482">
        <v>1</v>
      </c>
      <c r="G482" t="s">
        <v>1444</v>
      </c>
      <c r="H482" t="s">
        <v>1445</v>
      </c>
      <c r="I482" t="s">
        <v>1444</v>
      </c>
      <c r="J482" s="1" t="str">
        <f>HYPERLINK("https://zfin.org/ZDB-GENE-050309-265")</f>
        <v>https://zfin.org/ZDB-GENE-050309-265</v>
      </c>
      <c r="K482" t="s">
        <v>1446</v>
      </c>
    </row>
    <row r="483" spans="1:11" x14ac:dyDescent="0.2">
      <c r="A483">
        <v>4.0653246910847699E-41</v>
      </c>
      <c r="B483">
        <v>-2.10121712502221</v>
      </c>
      <c r="C483">
        <v>0.86</v>
      </c>
      <c r="D483">
        <v>0.93</v>
      </c>
      <c r="E483">
        <v>6.2943422192065497E-37</v>
      </c>
      <c r="F483">
        <v>1</v>
      </c>
      <c r="G483" t="s">
        <v>1447</v>
      </c>
      <c r="H483" t="s">
        <v>1448</v>
      </c>
      <c r="I483" t="s">
        <v>1447</v>
      </c>
      <c r="J483" s="1" t="str">
        <f>HYPERLINK("https://zfin.org/ZDB-GENE-040426-1508")</f>
        <v>https://zfin.org/ZDB-GENE-040426-1508</v>
      </c>
      <c r="K483" t="s">
        <v>1449</v>
      </c>
    </row>
    <row r="484" spans="1:11" x14ac:dyDescent="0.2">
      <c r="A484">
        <v>6.61001273627598E-41</v>
      </c>
      <c r="B484">
        <v>-1.75106290194319</v>
      </c>
      <c r="C484">
        <v>0.623</v>
      </c>
      <c r="D484">
        <v>0.89100000000000001</v>
      </c>
      <c r="E484">
        <v>1.0234282719576101E-36</v>
      </c>
      <c r="F484">
        <v>1</v>
      </c>
      <c r="G484" t="s">
        <v>1450</v>
      </c>
      <c r="H484" t="s">
        <v>1451</v>
      </c>
      <c r="I484" t="s">
        <v>1450</v>
      </c>
      <c r="J484" s="1" t="str">
        <f>HYPERLINK("https://zfin.org/ZDB-GENE-060503-431")</f>
        <v>https://zfin.org/ZDB-GENE-060503-431</v>
      </c>
      <c r="K484" t="s">
        <v>1452</v>
      </c>
    </row>
    <row r="485" spans="1:11" x14ac:dyDescent="0.2">
      <c r="A485">
        <v>6.8765836521161899E-41</v>
      </c>
      <c r="B485">
        <v>0.36008855109004301</v>
      </c>
      <c r="C485">
        <v>0.35099999999999998</v>
      </c>
      <c r="D485">
        <v>3.5999999999999997E-2</v>
      </c>
      <c r="E485">
        <v>1.0647014468571501E-36</v>
      </c>
      <c r="F485">
        <v>1</v>
      </c>
      <c r="G485" t="s">
        <v>1453</v>
      </c>
      <c r="H485" t="s">
        <v>1454</v>
      </c>
      <c r="I485" t="s">
        <v>1453</v>
      </c>
      <c r="J485" s="1" t="str">
        <f>HYPERLINK("https://zfin.org/ZDB-GENE-040614-1")</f>
        <v>https://zfin.org/ZDB-GENE-040614-1</v>
      </c>
      <c r="K485" t="s">
        <v>1455</v>
      </c>
    </row>
    <row r="486" spans="1:11" x14ac:dyDescent="0.2">
      <c r="A486">
        <v>7.1848399606596697E-41</v>
      </c>
      <c r="B486">
        <v>-0.90389213078590802</v>
      </c>
      <c r="C486">
        <v>0.97399999999999998</v>
      </c>
      <c r="D486">
        <v>0.97099999999999997</v>
      </c>
      <c r="E486">
        <v>1.11242877110894E-36</v>
      </c>
      <c r="F486">
        <v>1</v>
      </c>
      <c r="G486" t="s">
        <v>1456</v>
      </c>
      <c r="H486" t="s">
        <v>1457</v>
      </c>
      <c r="I486" t="s">
        <v>1456</v>
      </c>
      <c r="J486" s="1" t="str">
        <f>HYPERLINK("https://zfin.org/ZDB-GENE-030131-8646")</f>
        <v>https://zfin.org/ZDB-GENE-030131-8646</v>
      </c>
      <c r="K486" t="s">
        <v>1458</v>
      </c>
    </row>
    <row r="487" spans="1:11" x14ac:dyDescent="0.2">
      <c r="A487">
        <v>7.2086617483441105E-41</v>
      </c>
      <c r="B487">
        <v>0.73362072738399797</v>
      </c>
      <c r="C487">
        <v>0.71899999999999997</v>
      </c>
      <c r="D487">
        <v>0.16900000000000001</v>
      </c>
      <c r="E487">
        <v>1.1161170984961199E-36</v>
      </c>
      <c r="F487">
        <v>1</v>
      </c>
      <c r="G487" t="s">
        <v>1459</v>
      </c>
      <c r="H487" t="s">
        <v>1460</v>
      </c>
      <c r="I487" t="s">
        <v>1459</v>
      </c>
      <c r="J487" s="1" t="str">
        <f>HYPERLINK("https://zfin.org/ZDB-GENE-030131-1531")</f>
        <v>https://zfin.org/ZDB-GENE-030131-1531</v>
      </c>
      <c r="K487" t="s">
        <v>1461</v>
      </c>
    </row>
    <row r="488" spans="1:11" x14ac:dyDescent="0.2">
      <c r="A488">
        <v>9.6425965372299909E-41</v>
      </c>
      <c r="B488">
        <v>0.25416281640659</v>
      </c>
      <c r="C488">
        <v>0.21099999999999999</v>
      </c>
      <c r="D488">
        <v>8.9999999999999993E-3</v>
      </c>
      <c r="E488">
        <v>1.49296322185932E-36</v>
      </c>
      <c r="F488">
        <v>1</v>
      </c>
      <c r="G488" t="s">
        <v>1462</v>
      </c>
      <c r="H488" t="s">
        <v>1463</v>
      </c>
      <c r="I488" t="s">
        <v>1462</v>
      </c>
      <c r="J488" s="1" t="str">
        <f>HYPERLINK("https://zfin.org/ZDB-GENE-040426-1892")</f>
        <v>https://zfin.org/ZDB-GENE-040426-1892</v>
      </c>
      <c r="K488" t="s">
        <v>1464</v>
      </c>
    </row>
    <row r="489" spans="1:11" x14ac:dyDescent="0.2">
      <c r="A489">
        <v>1.1771450976339E-40</v>
      </c>
      <c r="B489">
        <v>-1.81900911132216</v>
      </c>
      <c r="C489">
        <v>0.5</v>
      </c>
      <c r="D489">
        <v>0.85399999999999998</v>
      </c>
      <c r="E489">
        <v>1.82257375466657E-36</v>
      </c>
      <c r="F489">
        <v>1</v>
      </c>
      <c r="G489" t="s">
        <v>1465</v>
      </c>
      <c r="H489" t="s">
        <v>1466</v>
      </c>
      <c r="I489" t="s">
        <v>1465</v>
      </c>
      <c r="J489" s="1" t="str">
        <f>HYPERLINK("https://zfin.org/ZDB-GENE-030131-2391")</f>
        <v>https://zfin.org/ZDB-GENE-030131-2391</v>
      </c>
      <c r="K489" t="s">
        <v>1467</v>
      </c>
    </row>
    <row r="490" spans="1:11" x14ac:dyDescent="0.2">
      <c r="A490">
        <v>1.2697418489338099E-40</v>
      </c>
      <c r="B490">
        <v>-1.73286243871866</v>
      </c>
      <c r="C490">
        <v>0.49099999999999999</v>
      </c>
      <c r="D490">
        <v>0.84599999999999997</v>
      </c>
      <c r="E490">
        <v>1.9659413047042199E-36</v>
      </c>
      <c r="F490">
        <v>1</v>
      </c>
      <c r="G490" t="s">
        <v>1468</v>
      </c>
      <c r="H490" t="s">
        <v>1469</v>
      </c>
      <c r="I490" t="s">
        <v>1468</v>
      </c>
      <c r="J490" s="1" t="str">
        <f>HYPERLINK("https://zfin.org/ZDB-GENE-040426-2768")</f>
        <v>https://zfin.org/ZDB-GENE-040426-2768</v>
      </c>
      <c r="K490" t="s">
        <v>1470</v>
      </c>
    </row>
    <row r="491" spans="1:11" x14ac:dyDescent="0.2">
      <c r="A491">
        <v>1.3186839202415E-40</v>
      </c>
      <c r="B491">
        <v>0.92698353594607397</v>
      </c>
      <c r="C491">
        <v>0.96499999999999997</v>
      </c>
      <c r="D491">
        <v>0.56999999999999995</v>
      </c>
      <c r="E491">
        <v>2.0417183137099199E-36</v>
      </c>
      <c r="F491">
        <v>1</v>
      </c>
      <c r="G491" t="s">
        <v>1471</v>
      </c>
      <c r="H491" t="s">
        <v>1472</v>
      </c>
      <c r="I491" t="s">
        <v>1471</v>
      </c>
      <c r="J491" s="1" t="str">
        <f>HYPERLINK("https://zfin.org/ZDB-GENE-030131-7715")</f>
        <v>https://zfin.org/ZDB-GENE-030131-7715</v>
      </c>
      <c r="K491" t="s">
        <v>1473</v>
      </c>
    </row>
    <row r="492" spans="1:11" x14ac:dyDescent="0.2">
      <c r="A492">
        <v>1.9307735488099502E-40</v>
      </c>
      <c r="B492">
        <v>0.28377606547537898</v>
      </c>
      <c r="C492">
        <v>0.158</v>
      </c>
      <c r="D492">
        <v>3.0000000000000001E-3</v>
      </c>
      <c r="E492">
        <v>2.98941668562245E-36</v>
      </c>
      <c r="F492">
        <v>1</v>
      </c>
      <c r="G492" t="s">
        <v>1474</v>
      </c>
      <c r="H492" t="s">
        <v>1475</v>
      </c>
      <c r="I492" t="s">
        <v>1474</v>
      </c>
      <c r="J492" s="1" t="str">
        <f>HYPERLINK("https://zfin.org/ZDB-GENE-050522-156")</f>
        <v>https://zfin.org/ZDB-GENE-050522-156</v>
      </c>
      <c r="K492" t="s">
        <v>1476</v>
      </c>
    </row>
    <row r="493" spans="1:11" x14ac:dyDescent="0.2">
      <c r="A493">
        <v>1.9892270780834902E-40</v>
      </c>
      <c r="B493">
        <v>0.45061643005376301</v>
      </c>
      <c r="C493">
        <v>0.46500000000000002</v>
      </c>
      <c r="D493">
        <v>6.6000000000000003E-2</v>
      </c>
      <c r="E493">
        <v>3.0799202849966597E-36</v>
      </c>
      <c r="F493">
        <v>1</v>
      </c>
      <c r="G493" t="s">
        <v>1477</v>
      </c>
      <c r="H493" t="s">
        <v>1478</v>
      </c>
      <c r="I493" t="s">
        <v>1477</v>
      </c>
      <c r="J493" s="1" t="str">
        <f>HYPERLINK("https://zfin.org/ZDB-GENE-040718-288")</f>
        <v>https://zfin.org/ZDB-GENE-040718-288</v>
      </c>
      <c r="K493" t="s">
        <v>1479</v>
      </c>
    </row>
    <row r="494" spans="1:11" x14ac:dyDescent="0.2">
      <c r="A494">
        <v>2.16343624961513E-40</v>
      </c>
      <c r="B494">
        <v>0.40218602367165701</v>
      </c>
      <c r="C494">
        <v>0.27200000000000002</v>
      </c>
      <c r="D494">
        <v>0.02</v>
      </c>
      <c r="E494">
        <v>3.34964834527911E-36</v>
      </c>
      <c r="F494">
        <v>1</v>
      </c>
      <c r="G494" t="s">
        <v>1480</v>
      </c>
      <c r="H494" t="s">
        <v>1481</v>
      </c>
      <c r="I494" t="s">
        <v>1480</v>
      </c>
      <c r="J494" s="1" t="str">
        <f>HYPERLINK("https://zfin.org/ZDB-GENE-090313-271")</f>
        <v>https://zfin.org/ZDB-GENE-090313-271</v>
      </c>
      <c r="K494" t="s">
        <v>1482</v>
      </c>
    </row>
    <row r="495" spans="1:11" x14ac:dyDescent="0.2">
      <c r="A495">
        <v>2.6734926443849602E-40</v>
      </c>
      <c r="B495">
        <v>-1.5514393807743601</v>
      </c>
      <c r="C495">
        <v>0.67500000000000004</v>
      </c>
      <c r="D495">
        <v>0.88100000000000001</v>
      </c>
      <c r="E495">
        <v>4.1393686613012302E-36</v>
      </c>
      <c r="F495">
        <v>1</v>
      </c>
      <c r="G495" t="s">
        <v>1483</v>
      </c>
      <c r="H495" t="s">
        <v>1484</v>
      </c>
      <c r="I495" t="s">
        <v>1483</v>
      </c>
      <c r="J495" s="1" t="str">
        <f>HYPERLINK("https://zfin.org/ZDB-GENE-010726-1")</f>
        <v>https://zfin.org/ZDB-GENE-010726-1</v>
      </c>
      <c r="K495" t="s">
        <v>1485</v>
      </c>
    </row>
    <row r="496" spans="1:11" x14ac:dyDescent="0.2">
      <c r="A496">
        <v>2.68582638160132E-40</v>
      </c>
      <c r="B496">
        <v>0.73120858007926703</v>
      </c>
      <c r="C496">
        <v>0.76300000000000001</v>
      </c>
      <c r="D496">
        <v>0.188</v>
      </c>
      <c r="E496">
        <v>4.1584649866333197E-36</v>
      </c>
      <c r="F496">
        <v>1</v>
      </c>
      <c r="G496" t="s">
        <v>1486</v>
      </c>
      <c r="H496" t="s">
        <v>1487</v>
      </c>
      <c r="I496" t="s">
        <v>1486</v>
      </c>
      <c r="J496" s="1" t="str">
        <f>HYPERLINK("https://zfin.org/ZDB-GENE-040426-2204")</f>
        <v>https://zfin.org/ZDB-GENE-040426-2204</v>
      </c>
      <c r="K496" t="s">
        <v>1488</v>
      </c>
    </row>
    <row r="497" spans="1:11" x14ac:dyDescent="0.2">
      <c r="A497">
        <v>2.9004425783032E-40</v>
      </c>
      <c r="B497">
        <v>0.93257496391982697</v>
      </c>
      <c r="C497">
        <v>0.98199999999999998</v>
      </c>
      <c r="D497">
        <v>0.65200000000000002</v>
      </c>
      <c r="E497">
        <v>4.4907552439868503E-36</v>
      </c>
      <c r="F497">
        <v>1</v>
      </c>
      <c r="G497" t="s">
        <v>1489</v>
      </c>
      <c r="H497" t="s">
        <v>1490</v>
      </c>
      <c r="I497" t="s">
        <v>1489</v>
      </c>
      <c r="J497" s="1" t="str">
        <f>HYPERLINK("https://zfin.org/ZDB-GENE-040625-180")</f>
        <v>https://zfin.org/ZDB-GENE-040625-180</v>
      </c>
      <c r="K497" t="s">
        <v>1491</v>
      </c>
    </row>
    <row r="498" spans="1:11" x14ac:dyDescent="0.2">
      <c r="A498">
        <v>2.94854040967127E-40</v>
      </c>
      <c r="B498">
        <v>0.64939400753165499</v>
      </c>
      <c r="C498">
        <v>0.67500000000000004</v>
      </c>
      <c r="D498">
        <v>0.14599999999999999</v>
      </c>
      <c r="E498">
        <v>4.5652251162940301E-36</v>
      </c>
      <c r="F498">
        <v>1</v>
      </c>
      <c r="G498" t="s">
        <v>1492</v>
      </c>
      <c r="H498" t="s">
        <v>1493</v>
      </c>
      <c r="I498" t="s">
        <v>1492</v>
      </c>
      <c r="J498" s="1" t="str">
        <f>HYPERLINK("https://zfin.org/ZDB-GENE-030131-8921")</f>
        <v>https://zfin.org/ZDB-GENE-030131-8921</v>
      </c>
      <c r="K498" t="s">
        <v>1494</v>
      </c>
    </row>
    <row r="499" spans="1:11" x14ac:dyDescent="0.2">
      <c r="A499">
        <v>3.0059246079251801E-40</v>
      </c>
      <c r="B499">
        <v>0.68185414478252104</v>
      </c>
      <c r="C499">
        <v>0.71899999999999997</v>
      </c>
      <c r="D499">
        <v>0.16700000000000001</v>
      </c>
      <c r="E499">
        <v>4.6540730704505601E-36</v>
      </c>
      <c r="F499">
        <v>1</v>
      </c>
      <c r="G499" t="s">
        <v>1495</v>
      </c>
      <c r="H499" t="s">
        <v>1496</v>
      </c>
      <c r="I499" t="s">
        <v>1495</v>
      </c>
      <c r="J499" s="1" t="str">
        <f>HYPERLINK("https://zfin.org/ZDB-GENE-040426-687")</f>
        <v>https://zfin.org/ZDB-GENE-040426-687</v>
      </c>
      <c r="K499" t="s">
        <v>1497</v>
      </c>
    </row>
    <row r="500" spans="1:11" x14ac:dyDescent="0.2">
      <c r="A500">
        <v>3.33894616756907E-40</v>
      </c>
      <c r="B500">
        <v>0.31992231795153497</v>
      </c>
      <c r="C500">
        <v>0.27200000000000002</v>
      </c>
      <c r="D500">
        <v>0.02</v>
      </c>
      <c r="E500">
        <v>5.1696903512471902E-36</v>
      </c>
      <c r="F500">
        <v>1</v>
      </c>
      <c r="G500" t="s">
        <v>1498</v>
      </c>
      <c r="H500" t="s">
        <v>1499</v>
      </c>
      <c r="I500" t="s">
        <v>1498</v>
      </c>
      <c r="J500" s="1" t="str">
        <f>HYPERLINK("https://zfin.org/ZDB-GENE-050419-126")</f>
        <v>https://zfin.org/ZDB-GENE-050419-126</v>
      </c>
      <c r="K500" t="s">
        <v>1500</v>
      </c>
    </row>
    <row r="501" spans="1:11" x14ac:dyDescent="0.2">
      <c r="A501">
        <v>3.9301710714758996E-40</v>
      </c>
      <c r="B501">
        <v>0.36785217920972602</v>
      </c>
      <c r="C501">
        <v>0.34200000000000003</v>
      </c>
      <c r="D501">
        <v>3.5000000000000003E-2</v>
      </c>
      <c r="E501">
        <v>6.0850838699661401E-36</v>
      </c>
      <c r="F501">
        <v>1</v>
      </c>
      <c r="G501" t="s">
        <v>1501</v>
      </c>
      <c r="H501" t="s">
        <v>1502</v>
      </c>
      <c r="I501" t="s">
        <v>1501</v>
      </c>
      <c r="J501" s="1" t="str">
        <f>HYPERLINK("https://zfin.org/ZDB-GENE-030131-7518")</f>
        <v>https://zfin.org/ZDB-GENE-030131-7518</v>
      </c>
      <c r="K501" t="s">
        <v>1503</v>
      </c>
    </row>
    <row r="502" spans="1:11" x14ac:dyDescent="0.2">
      <c r="A502">
        <v>6.3971439626138598E-40</v>
      </c>
      <c r="B502">
        <v>0.29797076671914702</v>
      </c>
      <c r="C502">
        <v>0.14899999999999999</v>
      </c>
      <c r="D502">
        <v>2E-3</v>
      </c>
      <c r="E502">
        <v>9.9046979973150406E-36</v>
      </c>
      <c r="F502">
        <v>1</v>
      </c>
      <c r="G502" t="s">
        <v>1504</v>
      </c>
      <c r="H502" t="s">
        <v>1505</v>
      </c>
      <c r="I502" t="s">
        <v>1504</v>
      </c>
      <c r="J502" s="1" t="str">
        <f>HYPERLINK("https://zfin.org/ZDB-GENE-110228-3")</f>
        <v>https://zfin.org/ZDB-GENE-110228-3</v>
      </c>
      <c r="K502" t="s">
        <v>1506</v>
      </c>
    </row>
    <row r="503" spans="1:11" x14ac:dyDescent="0.2">
      <c r="A503">
        <v>7.3223047299282298E-40</v>
      </c>
      <c r="B503">
        <v>-0.98539229984069798</v>
      </c>
      <c r="C503">
        <v>0.97399999999999998</v>
      </c>
      <c r="D503">
        <v>0.96399999999999997</v>
      </c>
      <c r="E503">
        <v>1.13371244133479E-35</v>
      </c>
      <c r="F503">
        <v>1</v>
      </c>
      <c r="G503" t="s">
        <v>1507</v>
      </c>
      <c r="H503" t="s">
        <v>1508</v>
      </c>
      <c r="I503" t="s">
        <v>1507</v>
      </c>
      <c r="J503" s="1" t="str">
        <f>HYPERLINK("https://zfin.org/ZDB-GENE-030131-1291")</f>
        <v>https://zfin.org/ZDB-GENE-030131-1291</v>
      </c>
      <c r="K503" t="s">
        <v>1509</v>
      </c>
    </row>
    <row r="504" spans="1:11" x14ac:dyDescent="0.2">
      <c r="A504">
        <v>8.2728616157782008E-40</v>
      </c>
      <c r="B504">
        <v>0.45771072475824998</v>
      </c>
      <c r="C504">
        <v>0.48199999999999998</v>
      </c>
      <c r="D504">
        <v>7.2999999999999995E-2</v>
      </c>
      <c r="E504">
        <v>1.2808871639709401E-35</v>
      </c>
      <c r="F504">
        <v>1</v>
      </c>
      <c r="G504" t="s">
        <v>1510</v>
      </c>
      <c r="H504" t="s">
        <v>1511</v>
      </c>
      <c r="I504" t="s">
        <v>1510</v>
      </c>
      <c r="J504" s="1" t="str">
        <f>HYPERLINK("https://zfin.org/ZDB-GENE-041010-132")</f>
        <v>https://zfin.org/ZDB-GENE-041010-132</v>
      </c>
      <c r="K504" t="s">
        <v>1512</v>
      </c>
    </row>
    <row r="505" spans="1:11" x14ac:dyDescent="0.2">
      <c r="A505">
        <v>8.7180392822566106E-40</v>
      </c>
      <c r="B505">
        <v>0.34201757664891302</v>
      </c>
      <c r="C505">
        <v>0.254</v>
      </c>
      <c r="D505">
        <v>1.7000000000000001E-2</v>
      </c>
      <c r="E505">
        <v>1.3498140220717899E-35</v>
      </c>
      <c r="F505">
        <v>1</v>
      </c>
      <c r="G505" t="s">
        <v>1513</v>
      </c>
      <c r="H505" t="s">
        <v>1514</v>
      </c>
      <c r="I505" t="s">
        <v>1513</v>
      </c>
      <c r="J505" s="1" t="str">
        <f>HYPERLINK("https://zfin.org/ZDB-GENE-040801-126")</f>
        <v>https://zfin.org/ZDB-GENE-040801-126</v>
      </c>
      <c r="K505" t="s">
        <v>1515</v>
      </c>
    </row>
    <row r="506" spans="1:11" x14ac:dyDescent="0.2">
      <c r="A506">
        <v>1.16830868840598E-39</v>
      </c>
      <c r="B506">
        <v>0.66099866505309801</v>
      </c>
      <c r="C506">
        <v>0.72799999999999998</v>
      </c>
      <c r="D506">
        <v>0.17399999999999999</v>
      </c>
      <c r="E506">
        <v>1.8088923422589701E-35</v>
      </c>
      <c r="F506">
        <v>1</v>
      </c>
      <c r="G506" t="s">
        <v>1516</v>
      </c>
      <c r="H506" t="s">
        <v>1517</v>
      </c>
      <c r="I506" t="s">
        <v>1516</v>
      </c>
      <c r="J506" s="1" t="str">
        <f>HYPERLINK("https://zfin.org/ZDB-GENE-050913-28")</f>
        <v>https://zfin.org/ZDB-GENE-050913-28</v>
      </c>
      <c r="K506" t="s">
        <v>1518</v>
      </c>
    </row>
    <row r="507" spans="1:11" x14ac:dyDescent="0.2">
      <c r="A507">
        <v>1.4985314002437399E-39</v>
      </c>
      <c r="B507">
        <v>0.35328007743891998</v>
      </c>
      <c r="C507">
        <v>0.35099999999999998</v>
      </c>
      <c r="D507">
        <v>3.6999999999999998E-2</v>
      </c>
      <c r="E507">
        <v>2.32017616699738E-35</v>
      </c>
      <c r="F507">
        <v>1</v>
      </c>
      <c r="G507" t="s">
        <v>1519</v>
      </c>
      <c r="H507" t="s">
        <v>1520</v>
      </c>
      <c r="I507" t="s">
        <v>1519</v>
      </c>
      <c r="J507" s="1" t="str">
        <f>HYPERLINK("https://zfin.org/ZDB-GENE-040723-3")</f>
        <v>https://zfin.org/ZDB-GENE-040723-3</v>
      </c>
      <c r="K507" t="s">
        <v>1521</v>
      </c>
    </row>
    <row r="508" spans="1:11" x14ac:dyDescent="0.2">
      <c r="A508">
        <v>1.8679373834756699E-39</v>
      </c>
      <c r="B508">
        <v>0.54175567498363497</v>
      </c>
      <c r="C508">
        <v>0.41199999999999998</v>
      </c>
      <c r="D508">
        <v>5.3999999999999999E-2</v>
      </c>
      <c r="E508">
        <v>2.89212745083537E-35</v>
      </c>
      <c r="F508">
        <v>1</v>
      </c>
      <c r="G508" t="s">
        <v>1522</v>
      </c>
      <c r="H508" t="s">
        <v>1523</v>
      </c>
      <c r="I508" t="s">
        <v>1522</v>
      </c>
      <c r="J508" s="1" t="str">
        <f>HYPERLINK("https://zfin.org/ZDB-GENE-061215-70")</f>
        <v>https://zfin.org/ZDB-GENE-061215-70</v>
      </c>
      <c r="K508" t="s">
        <v>1524</v>
      </c>
    </row>
    <row r="509" spans="1:11" x14ac:dyDescent="0.2">
      <c r="A509">
        <v>2.1917310443470801E-39</v>
      </c>
      <c r="B509">
        <v>0.41398527304107402</v>
      </c>
      <c r="C509">
        <v>0.38600000000000001</v>
      </c>
      <c r="D509">
        <v>4.7E-2</v>
      </c>
      <c r="E509">
        <v>3.3934571759625799E-35</v>
      </c>
      <c r="F509">
        <v>1</v>
      </c>
      <c r="G509" t="s">
        <v>1525</v>
      </c>
      <c r="H509" t="s">
        <v>1526</v>
      </c>
      <c r="I509" t="s">
        <v>1525</v>
      </c>
      <c r="J509" s="1" t="str">
        <f>HYPERLINK("https://zfin.org/ZDB-GENE-040426-2294")</f>
        <v>https://zfin.org/ZDB-GENE-040426-2294</v>
      </c>
      <c r="K509" t="s">
        <v>1527</v>
      </c>
    </row>
    <row r="510" spans="1:11" x14ac:dyDescent="0.2">
      <c r="A510">
        <v>2.21423686610584E-39</v>
      </c>
      <c r="B510">
        <v>0.38727652582345301</v>
      </c>
      <c r="C510">
        <v>0.23699999999999999</v>
      </c>
      <c r="D510">
        <v>1.4E-2</v>
      </c>
      <c r="E510">
        <v>3.4283029397916699E-35</v>
      </c>
      <c r="F510">
        <v>1</v>
      </c>
      <c r="G510" t="s">
        <v>1528</v>
      </c>
      <c r="H510" t="s">
        <v>1529</v>
      </c>
      <c r="I510" t="s">
        <v>1528</v>
      </c>
      <c r="J510" s="1" t="str">
        <f>HYPERLINK("https://zfin.org/ZDB-GENE-040901-7")</f>
        <v>https://zfin.org/ZDB-GENE-040901-7</v>
      </c>
      <c r="K510" t="s">
        <v>1530</v>
      </c>
    </row>
    <row r="511" spans="1:11" x14ac:dyDescent="0.2">
      <c r="A511">
        <v>2.32491906549697E-39</v>
      </c>
      <c r="B511">
        <v>0.30605558483550299</v>
      </c>
      <c r="C511">
        <v>0.219</v>
      </c>
      <c r="D511">
        <v>1.0999999999999999E-2</v>
      </c>
      <c r="E511">
        <v>3.5996721891089602E-35</v>
      </c>
      <c r="F511">
        <v>1</v>
      </c>
      <c r="G511" t="s">
        <v>1531</v>
      </c>
      <c r="H511" t="s">
        <v>1532</v>
      </c>
      <c r="I511" t="s">
        <v>1531</v>
      </c>
      <c r="J511" s="1" t="str">
        <f>HYPERLINK("https://zfin.org/ZDB-GENE-041010-179")</f>
        <v>https://zfin.org/ZDB-GENE-041010-179</v>
      </c>
      <c r="K511" t="s">
        <v>1533</v>
      </c>
    </row>
    <row r="512" spans="1:11" x14ac:dyDescent="0.2">
      <c r="A512">
        <v>2.5563528699120299E-39</v>
      </c>
      <c r="B512">
        <v>-1.4512436126966799</v>
      </c>
      <c r="C512">
        <v>0.877</v>
      </c>
      <c r="D512">
        <v>0.92700000000000005</v>
      </c>
      <c r="E512">
        <v>3.9580011484848002E-35</v>
      </c>
      <c r="F512">
        <v>1</v>
      </c>
      <c r="G512" t="s">
        <v>1534</v>
      </c>
      <c r="H512" t="s">
        <v>1535</v>
      </c>
      <c r="I512" t="s">
        <v>1534</v>
      </c>
      <c r="J512" s="1" t="str">
        <f>HYPERLINK("https://zfin.org/ZDB-GENE-040426-2666")</f>
        <v>https://zfin.org/ZDB-GENE-040426-2666</v>
      </c>
      <c r="K512" t="s">
        <v>1536</v>
      </c>
    </row>
    <row r="513" spans="1:11" x14ac:dyDescent="0.2">
      <c r="A513">
        <v>2.7407743402819401E-39</v>
      </c>
      <c r="B513">
        <v>0.28356967866127503</v>
      </c>
      <c r="C513">
        <v>0.184</v>
      </c>
      <c r="D513">
        <v>6.0000000000000001E-3</v>
      </c>
      <c r="E513">
        <v>4.24354091105852E-35</v>
      </c>
      <c r="F513">
        <v>1</v>
      </c>
      <c r="G513" t="s">
        <v>1537</v>
      </c>
      <c r="H513" t="s">
        <v>1538</v>
      </c>
      <c r="I513" t="s">
        <v>1537</v>
      </c>
      <c r="J513" s="1" t="str">
        <f>HYPERLINK("https://zfin.org/ZDB-GENE-081022-109")</f>
        <v>https://zfin.org/ZDB-GENE-081022-109</v>
      </c>
      <c r="K513" t="s">
        <v>1539</v>
      </c>
    </row>
    <row r="514" spans="1:11" x14ac:dyDescent="0.2">
      <c r="A514">
        <v>2.7407743402819401E-39</v>
      </c>
      <c r="B514">
        <v>0.26168038062113902</v>
      </c>
      <c r="C514">
        <v>0.184</v>
      </c>
      <c r="D514">
        <v>6.0000000000000001E-3</v>
      </c>
      <c r="E514">
        <v>4.24354091105852E-35</v>
      </c>
      <c r="F514">
        <v>1</v>
      </c>
      <c r="G514" t="s">
        <v>1540</v>
      </c>
      <c r="H514" t="s">
        <v>1541</v>
      </c>
      <c r="I514" t="s">
        <v>1540</v>
      </c>
      <c r="J514" s="1" t="str">
        <f>HYPERLINK("https://zfin.org/ZDB-GENE-060929-300")</f>
        <v>https://zfin.org/ZDB-GENE-060929-300</v>
      </c>
      <c r="K514" t="s">
        <v>1542</v>
      </c>
    </row>
    <row r="515" spans="1:11" x14ac:dyDescent="0.2">
      <c r="A515">
        <v>3.3579559192163198E-39</v>
      </c>
      <c r="B515">
        <v>0.35585281215139303</v>
      </c>
      <c r="C515">
        <v>0.27200000000000002</v>
      </c>
      <c r="D515">
        <v>2.1000000000000001E-2</v>
      </c>
      <c r="E515">
        <v>5.1991231497226301E-35</v>
      </c>
      <c r="F515">
        <v>1</v>
      </c>
      <c r="G515" t="s">
        <v>1543</v>
      </c>
      <c r="H515" t="s">
        <v>1544</v>
      </c>
      <c r="I515" t="s">
        <v>1543</v>
      </c>
      <c r="J515" s="1" t="str">
        <f>HYPERLINK("https://zfin.org/ZDB-GENE-091204-50")</f>
        <v>https://zfin.org/ZDB-GENE-091204-50</v>
      </c>
      <c r="K515" t="s">
        <v>1545</v>
      </c>
    </row>
    <row r="516" spans="1:11" x14ac:dyDescent="0.2">
      <c r="A516">
        <v>3.8203599163862003E-39</v>
      </c>
      <c r="B516">
        <v>0.32870798371480298</v>
      </c>
      <c r="C516">
        <v>0.22800000000000001</v>
      </c>
      <c r="D516">
        <v>1.2999999999999999E-2</v>
      </c>
      <c r="E516">
        <v>5.9150632585407595E-35</v>
      </c>
      <c r="F516">
        <v>1</v>
      </c>
      <c r="G516" t="s">
        <v>1546</v>
      </c>
      <c r="H516" t="s">
        <v>1547</v>
      </c>
      <c r="I516" t="s">
        <v>1546</v>
      </c>
      <c r="J516" s="1" t="str">
        <f>HYPERLINK("https://zfin.org/ZDB-GENE-090312-192")</f>
        <v>https://zfin.org/ZDB-GENE-090312-192</v>
      </c>
      <c r="K516" t="s">
        <v>1548</v>
      </c>
    </row>
    <row r="517" spans="1:11" x14ac:dyDescent="0.2">
      <c r="A517">
        <v>4.38553977772971E-39</v>
      </c>
      <c r="B517">
        <v>0.39506201247096301</v>
      </c>
      <c r="C517">
        <v>0.254</v>
      </c>
      <c r="D517">
        <v>1.7999999999999999E-2</v>
      </c>
      <c r="E517">
        <v>6.7901312378589102E-35</v>
      </c>
      <c r="F517">
        <v>1</v>
      </c>
      <c r="G517" t="s">
        <v>1549</v>
      </c>
      <c r="H517" t="s">
        <v>1550</v>
      </c>
      <c r="I517" t="s">
        <v>1549</v>
      </c>
      <c r="J517" s="1" t="str">
        <f>HYPERLINK("https://zfin.org/ZDB-GENE-131127-287")</f>
        <v>https://zfin.org/ZDB-GENE-131127-287</v>
      </c>
      <c r="K517" t="s">
        <v>1551</v>
      </c>
    </row>
    <row r="518" spans="1:11" x14ac:dyDescent="0.2">
      <c r="A518">
        <v>5.7798211331531603E-39</v>
      </c>
      <c r="B518">
        <v>0.55622859078517495</v>
      </c>
      <c r="C518">
        <v>0.246</v>
      </c>
      <c r="D518">
        <v>1.6E-2</v>
      </c>
      <c r="E518">
        <v>8.9488970604610496E-35</v>
      </c>
      <c r="F518">
        <v>1</v>
      </c>
      <c r="G518" t="s">
        <v>1552</v>
      </c>
      <c r="H518" t="s">
        <v>1553</v>
      </c>
      <c r="I518" t="s">
        <v>1552</v>
      </c>
      <c r="J518" s="1" t="str">
        <f>HYPERLINK("https://zfin.org/ZDB-GENE-980526-221")</f>
        <v>https://zfin.org/ZDB-GENE-980526-221</v>
      </c>
      <c r="K518" t="s">
        <v>1554</v>
      </c>
    </row>
    <row r="519" spans="1:11" x14ac:dyDescent="0.2">
      <c r="A519">
        <v>6.1135898229169298E-39</v>
      </c>
      <c r="B519">
        <v>0.42143477338357099</v>
      </c>
      <c r="C519">
        <v>0.40400000000000003</v>
      </c>
      <c r="D519">
        <v>5.0999999999999997E-2</v>
      </c>
      <c r="E519">
        <v>9.4656711228222795E-35</v>
      </c>
      <c r="F519">
        <v>1</v>
      </c>
      <c r="G519" t="s">
        <v>1555</v>
      </c>
      <c r="H519" t="s">
        <v>1556</v>
      </c>
      <c r="I519" t="s">
        <v>1555</v>
      </c>
      <c r="J519" s="1" t="str">
        <f>HYPERLINK("https://zfin.org/ZDB-GENE-070323-2")</f>
        <v>https://zfin.org/ZDB-GENE-070323-2</v>
      </c>
      <c r="K519" t="s">
        <v>1557</v>
      </c>
    </row>
    <row r="520" spans="1:11" x14ac:dyDescent="0.2">
      <c r="A520">
        <v>6.1545763053003697E-39</v>
      </c>
      <c r="B520">
        <v>-1.05539676909123</v>
      </c>
      <c r="C520">
        <v>0.94699999999999995</v>
      </c>
      <c r="D520">
        <v>0.93300000000000005</v>
      </c>
      <c r="E520">
        <v>9.5291304934965699E-35</v>
      </c>
      <c r="F520">
        <v>1</v>
      </c>
      <c r="G520" t="s">
        <v>1558</v>
      </c>
      <c r="H520" t="s">
        <v>1559</v>
      </c>
      <c r="I520" t="s">
        <v>1558</v>
      </c>
      <c r="J520" s="1" t="str">
        <f>HYPERLINK("https://zfin.org/ZDB-GENE-040426-1102")</f>
        <v>https://zfin.org/ZDB-GENE-040426-1102</v>
      </c>
      <c r="K520" t="s">
        <v>1560</v>
      </c>
    </row>
    <row r="521" spans="1:11" x14ac:dyDescent="0.2">
      <c r="A521">
        <v>7.5344103836778905E-39</v>
      </c>
      <c r="B521">
        <v>0.29634313071718599</v>
      </c>
      <c r="C521">
        <v>0.193</v>
      </c>
      <c r="D521">
        <v>8.0000000000000002E-3</v>
      </c>
      <c r="E521">
        <v>1.16655275970485E-34</v>
      </c>
      <c r="F521">
        <v>1</v>
      </c>
      <c r="G521" t="s">
        <v>1561</v>
      </c>
      <c r="H521" t="s">
        <v>1562</v>
      </c>
      <c r="I521" t="s">
        <v>1561</v>
      </c>
      <c r="J521" s="1" t="str">
        <f>HYPERLINK("https://zfin.org/ZDB-GENE-081104-382")</f>
        <v>https://zfin.org/ZDB-GENE-081104-382</v>
      </c>
      <c r="K521" t="s">
        <v>1563</v>
      </c>
    </row>
    <row r="522" spans="1:11" x14ac:dyDescent="0.2">
      <c r="A522">
        <v>9.7873210052160503E-39</v>
      </c>
      <c r="B522">
        <v>-0.81487800720037196</v>
      </c>
      <c r="C522">
        <v>0.99099999999999999</v>
      </c>
      <c r="D522">
        <v>0.97799999999999998</v>
      </c>
      <c r="E522">
        <v>1.5153709112376E-34</v>
      </c>
      <c r="F522">
        <v>1</v>
      </c>
      <c r="G522" t="s">
        <v>1564</v>
      </c>
      <c r="H522" t="s">
        <v>1565</v>
      </c>
      <c r="I522" t="s">
        <v>1564</v>
      </c>
      <c r="J522" s="1" t="str">
        <f>HYPERLINK("https://zfin.org/ZDB-GENE-050522-549")</f>
        <v>https://zfin.org/ZDB-GENE-050522-549</v>
      </c>
      <c r="K522" t="s">
        <v>1566</v>
      </c>
    </row>
    <row r="523" spans="1:11" x14ac:dyDescent="0.2">
      <c r="A523">
        <v>1.2806009242382899E-38</v>
      </c>
      <c r="B523">
        <v>0.64420354457282802</v>
      </c>
      <c r="C523">
        <v>0.66700000000000004</v>
      </c>
      <c r="D523">
        <v>0.14899999999999999</v>
      </c>
      <c r="E523">
        <v>1.98275441099815E-34</v>
      </c>
      <c r="F523">
        <v>1</v>
      </c>
      <c r="G523" t="s">
        <v>1567</v>
      </c>
      <c r="H523" t="s">
        <v>1568</v>
      </c>
      <c r="I523" t="s">
        <v>1567</v>
      </c>
      <c r="J523" s="1" t="str">
        <f>HYPERLINK("https://zfin.org/ZDB-GENE-040801-120")</f>
        <v>https://zfin.org/ZDB-GENE-040801-120</v>
      </c>
      <c r="K523" t="s">
        <v>1569</v>
      </c>
    </row>
    <row r="524" spans="1:11" x14ac:dyDescent="0.2">
      <c r="A524">
        <v>1.68879845118657E-38</v>
      </c>
      <c r="B524">
        <v>0.42396598372948002</v>
      </c>
      <c r="C524">
        <v>0.36799999999999999</v>
      </c>
      <c r="D524">
        <v>4.2999999999999997E-2</v>
      </c>
      <c r="E524">
        <v>2.6147666419721699E-34</v>
      </c>
      <c r="F524">
        <v>1</v>
      </c>
      <c r="G524" t="s">
        <v>1570</v>
      </c>
      <c r="H524" t="s">
        <v>1571</v>
      </c>
      <c r="I524" t="s">
        <v>1570</v>
      </c>
      <c r="J524" s="1" t="str">
        <f>HYPERLINK("https://zfin.org/ZDB-GENE-060130-108")</f>
        <v>https://zfin.org/ZDB-GENE-060130-108</v>
      </c>
      <c r="K524" t="s">
        <v>1572</v>
      </c>
    </row>
    <row r="525" spans="1:11" x14ac:dyDescent="0.2">
      <c r="A525">
        <v>2.18330644519476E-38</v>
      </c>
      <c r="B525">
        <v>0.89647065418819905</v>
      </c>
      <c r="C525">
        <v>0.94699999999999995</v>
      </c>
      <c r="D525">
        <v>0.432</v>
      </c>
      <c r="E525">
        <v>3.3804133690950401E-34</v>
      </c>
      <c r="F525">
        <v>1</v>
      </c>
      <c r="G525" t="s">
        <v>1573</v>
      </c>
      <c r="H525" t="s">
        <v>1574</v>
      </c>
      <c r="I525" t="s">
        <v>1573</v>
      </c>
      <c r="J525" s="1" t="str">
        <f>HYPERLINK("https://zfin.org/ZDB-GENE-040426-1966")</f>
        <v>https://zfin.org/ZDB-GENE-040426-1966</v>
      </c>
      <c r="K525" t="s">
        <v>1575</v>
      </c>
    </row>
    <row r="526" spans="1:11" x14ac:dyDescent="0.2">
      <c r="A526">
        <v>2.20241719931184E-38</v>
      </c>
      <c r="B526">
        <v>0.25124363639453701</v>
      </c>
      <c r="C526">
        <v>0.20200000000000001</v>
      </c>
      <c r="D526">
        <v>8.9999999999999993E-3</v>
      </c>
      <c r="E526">
        <v>3.4100025496945301E-34</v>
      </c>
      <c r="F526">
        <v>1</v>
      </c>
      <c r="G526" t="s">
        <v>1576</v>
      </c>
      <c r="H526" t="s">
        <v>1577</v>
      </c>
      <c r="I526" t="s">
        <v>1576</v>
      </c>
      <c r="J526" s="1" t="str">
        <f>HYPERLINK("https://zfin.org/ZDB-GENE-060825-33")</f>
        <v>https://zfin.org/ZDB-GENE-060825-33</v>
      </c>
      <c r="K526" t="s">
        <v>1578</v>
      </c>
    </row>
    <row r="527" spans="1:11" x14ac:dyDescent="0.2">
      <c r="A527">
        <v>2.4567858805483002E-38</v>
      </c>
      <c r="B527">
        <v>0.33099869342557597</v>
      </c>
      <c r="C527">
        <v>0.21099999999999999</v>
      </c>
      <c r="D527">
        <v>1.0999999999999999E-2</v>
      </c>
      <c r="E527">
        <v>3.8038415788529401E-34</v>
      </c>
      <c r="F527">
        <v>1</v>
      </c>
      <c r="G527" t="s">
        <v>1579</v>
      </c>
      <c r="H527" t="s">
        <v>1580</v>
      </c>
      <c r="I527" t="s">
        <v>1579</v>
      </c>
      <c r="J527" s="1" t="str">
        <f>HYPERLINK("https://zfin.org/ZDB-GENE-040718-160")</f>
        <v>https://zfin.org/ZDB-GENE-040718-160</v>
      </c>
      <c r="K527" t="s">
        <v>1581</v>
      </c>
    </row>
    <row r="528" spans="1:11" x14ac:dyDescent="0.2">
      <c r="A528">
        <v>3.2412823268992301E-38</v>
      </c>
      <c r="B528">
        <v>0.86612076261286997</v>
      </c>
      <c r="C528">
        <v>0.89500000000000002</v>
      </c>
      <c r="D528">
        <v>0.32100000000000001</v>
      </c>
      <c r="E528">
        <v>5.0184774267380798E-34</v>
      </c>
      <c r="F528">
        <v>1</v>
      </c>
      <c r="G528" t="s">
        <v>1582</v>
      </c>
      <c r="H528" t="s">
        <v>1583</v>
      </c>
      <c r="I528" t="s">
        <v>1582</v>
      </c>
      <c r="J528" s="1" t="str">
        <f>HYPERLINK("https://zfin.org/ZDB-GENE-030804-3")</f>
        <v>https://zfin.org/ZDB-GENE-030804-3</v>
      </c>
      <c r="K528" t="s">
        <v>1584</v>
      </c>
    </row>
    <row r="529" spans="1:11" x14ac:dyDescent="0.2">
      <c r="A529">
        <v>5.3902744491268096E-38</v>
      </c>
      <c r="B529">
        <v>0.34765475663829298</v>
      </c>
      <c r="C529">
        <v>0.29799999999999999</v>
      </c>
      <c r="D529">
        <v>2.7E-2</v>
      </c>
      <c r="E529">
        <v>8.3457619295830495E-34</v>
      </c>
      <c r="F529">
        <v>1</v>
      </c>
      <c r="G529" t="s">
        <v>1585</v>
      </c>
      <c r="H529" t="s">
        <v>1586</v>
      </c>
      <c r="I529" t="s">
        <v>1585</v>
      </c>
      <c r="J529" s="1" t="str">
        <f>HYPERLINK("https://zfin.org/ZDB-GENE-081104-216")</f>
        <v>https://zfin.org/ZDB-GENE-081104-216</v>
      </c>
      <c r="K529" t="s">
        <v>1587</v>
      </c>
    </row>
    <row r="530" spans="1:11" x14ac:dyDescent="0.2">
      <c r="A530">
        <v>5.6869915682662696E-38</v>
      </c>
      <c r="B530">
        <v>0.34108231883497597</v>
      </c>
      <c r="C530">
        <v>0.316</v>
      </c>
      <c r="D530">
        <v>3.1E-2</v>
      </c>
      <c r="E530">
        <v>8.8051690451466691E-34</v>
      </c>
      <c r="F530">
        <v>1</v>
      </c>
      <c r="G530" t="s">
        <v>1588</v>
      </c>
      <c r="H530" t="s">
        <v>1589</v>
      </c>
      <c r="I530" t="s">
        <v>1588</v>
      </c>
      <c r="J530" s="1" t="str">
        <f>HYPERLINK("https://zfin.org/ZDB-GENE-081030-16")</f>
        <v>https://zfin.org/ZDB-GENE-081030-16</v>
      </c>
      <c r="K530" t="s">
        <v>1590</v>
      </c>
    </row>
    <row r="531" spans="1:11" x14ac:dyDescent="0.2">
      <c r="A531">
        <v>7.1778220627174204E-38</v>
      </c>
      <c r="B531">
        <v>0.61322751620758298</v>
      </c>
      <c r="C531">
        <v>0.65800000000000003</v>
      </c>
      <c r="D531">
        <v>0.14199999999999999</v>
      </c>
      <c r="E531">
        <v>1.11134218997054E-33</v>
      </c>
      <c r="F531">
        <v>1</v>
      </c>
      <c r="G531" t="s">
        <v>1591</v>
      </c>
      <c r="H531" t="s">
        <v>1592</v>
      </c>
      <c r="I531" t="s">
        <v>1591</v>
      </c>
      <c r="J531" s="1" t="str">
        <f>HYPERLINK("https://zfin.org/ZDB-GENE-030131-8542")</f>
        <v>https://zfin.org/ZDB-GENE-030131-8542</v>
      </c>
      <c r="K531" t="s">
        <v>1593</v>
      </c>
    </row>
    <row r="532" spans="1:11" x14ac:dyDescent="0.2">
      <c r="A532">
        <v>8.0394546834756195E-38</v>
      </c>
      <c r="B532">
        <v>0.84290295592647202</v>
      </c>
      <c r="C532">
        <v>0.84199999999999997</v>
      </c>
      <c r="D532">
        <v>0.26300000000000001</v>
      </c>
      <c r="E532">
        <v>1.2447487686425299E-33</v>
      </c>
      <c r="F532">
        <v>1</v>
      </c>
      <c r="G532" t="s">
        <v>1594</v>
      </c>
      <c r="H532" t="s">
        <v>1595</v>
      </c>
      <c r="I532" t="s">
        <v>1594</v>
      </c>
      <c r="J532" s="1" t="str">
        <f>HYPERLINK("https://zfin.org/ZDB-GENE-040426-1119")</f>
        <v>https://zfin.org/ZDB-GENE-040426-1119</v>
      </c>
      <c r="K532" t="s">
        <v>1596</v>
      </c>
    </row>
    <row r="533" spans="1:11" x14ac:dyDescent="0.2">
      <c r="A533">
        <v>9.9973143829633008E-38</v>
      </c>
      <c r="B533">
        <v>0.28617387148416901</v>
      </c>
      <c r="C533">
        <v>0.184</v>
      </c>
      <c r="D533">
        <v>7.0000000000000001E-3</v>
      </c>
      <c r="E533">
        <v>1.5478841859142099E-33</v>
      </c>
      <c r="F533">
        <v>1</v>
      </c>
      <c r="G533" t="s">
        <v>1597</v>
      </c>
      <c r="H533" t="s">
        <v>1598</v>
      </c>
      <c r="I533" t="s">
        <v>1597</v>
      </c>
      <c r="J533" s="1" t="str">
        <f>HYPERLINK("https://zfin.org/ZDB-GENE-050208-517")</f>
        <v>https://zfin.org/ZDB-GENE-050208-517</v>
      </c>
      <c r="K533" t="s">
        <v>1599</v>
      </c>
    </row>
    <row r="534" spans="1:11" x14ac:dyDescent="0.2">
      <c r="A534">
        <v>1.0349030552062601E-37</v>
      </c>
      <c r="B534">
        <v>0.50703819025642605</v>
      </c>
      <c r="C534">
        <v>0.64</v>
      </c>
      <c r="D534">
        <v>0.129</v>
      </c>
      <c r="E534">
        <v>1.6023404003758501E-33</v>
      </c>
      <c r="F534">
        <v>1</v>
      </c>
      <c r="G534" t="s">
        <v>1600</v>
      </c>
      <c r="H534" t="s">
        <v>1601</v>
      </c>
      <c r="I534" t="s">
        <v>1600</v>
      </c>
      <c r="J534" s="1" t="str">
        <f>HYPERLINK("https://zfin.org/ZDB-GENE-040426-713")</f>
        <v>https://zfin.org/ZDB-GENE-040426-713</v>
      </c>
      <c r="K534" t="s">
        <v>1602</v>
      </c>
    </row>
    <row r="535" spans="1:11" x14ac:dyDescent="0.2">
      <c r="A535">
        <v>1.0459440817662801E-37</v>
      </c>
      <c r="B535">
        <v>-1.0255981129624101</v>
      </c>
      <c r="C535">
        <v>0.95599999999999996</v>
      </c>
      <c r="D535">
        <v>0.93</v>
      </c>
      <c r="E535">
        <v>1.6194352217987301E-33</v>
      </c>
      <c r="F535">
        <v>1</v>
      </c>
      <c r="G535" t="s">
        <v>1603</v>
      </c>
      <c r="H535" t="s">
        <v>1604</v>
      </c>
      <c r="I535" t="s">
        <v>1603</v>
      </c>
      <c r="J535" s="1" t="str">
        <f>HYPERLINK("https://zfin.org/ZDB-GENE-030131-5297")</f>
        <v>https://zfin.org/ZDB-GENE-030131-5297</v>
      </c>
      <c r="K535" t="s">
        <v>1605</v>
      </c>
    </row>
    <row r="536" spans="1:11" x14ac:dyDescent="0.2">
      <c r="A536">
        <v>1.04728058800238E-37</v>
      </c>
      <c r="B536">
        <v>0.42373217554195602</v>
      </c>
      <c r="C536">
        <v>0.36</v>
      </c>
      <c r="D536">
        <v>4.2000000000000003E-2</v>
      </c>
      <c r="E536">
        <v>1.6215045344040801E-33</v>
      </c>
      <c r="F536">
        <v>1</v>
      </c>
      <c r="G536" t="s">
        <v>1606</v>
      </c>
      <c r="H536" t="s">
        <v>1607</v>
      </c>
      <c r="I536" t="s">
        <v>1606</v>
      </c>
      <c r="J536" s="1" t="str">
        <f>HYPERLINK("https://zfin.org/ZDB-GENE-070705-309")</f>
        <v>https://zfin.org/ZDB-GENE-070705-309</v>
      </c>
      <c r="K536" t="s">
        <v>1608</v>
      </c>
    </row>
    <row r="537" spans="1:11" x14ac:dyDescent="0.2">
      <c r="A537">
        <v>1.13697631116659E-37</v>
      </c>
      <c r="B537">
        <v>0.29153814748280699</v>
      </c>
      <c r="C537">
        <v>0.184</v>
      </c>
      <c r="D537">
        <v>7.0000000000000001E-3</v>
      </c>
      <c r="E537">
        <v>1.76038042257924E-33</v>
      </c>
      <c r="F537">
        <v>1</v>
      </c>
      <c r="G537" t="s">
        <v>1609</v>
      </c>
      <c r="H537" t="s">
        <v>1610</v>
      </c>
      <c r="I537" t="s">
        <v>1609</v>
      </c>
      <c r="J537" s="1" t="str">
        <f>HYPERLINK("https://zfin.org/ZDB-GENE-090311-9")</f>
        <v>https://zfin.org/ZDB-GENE-090311-9</v>
      </c>
      <c r="K537" t="s">
        <v>1611</v>
      </c>
    </row>
    <row r="538" spans="1:11" x14ac:dyDescent="0.2">
      <c r="A538">
        <v>1.2195703010049699E-37</v>
      </c>
      <c r="B538">
        <v>0.44387652342822997</v>
      </c>
      <c r="C538">
        <v>0.184</v>
      </c>
      <c r="D538">
        <v>7.0000000000000001E-3</v>
      </c>
      <c r="E538">
        <v>1.8882606970459901E-33</v>
      </c>
      <c r="F538">
        <v>1</v>
      </c>
      <c r="G538" t="s">
        <v>1612</v>
      </c>
      <c r="H538" t="s">
        <v>1613</v>
      </c>
      <c r="I538" t="s">
        <v>1612</v>
      </c>
      <c r="J538" s="1" t="str">
        <f>HYPERLINK("https://zfin.org/ZDB-GENE-091204-123")</f>
        <v>https://zfin.org/ZDB-GENE-091204-123</v>
      </c>
      <c r="K538" t="s">
        <v>1614</v>
      </c>
    </row>
    <row r="539" spans="1:11" x14ac:dyDescent="0.2">
      <c r="A539">
        <v>1.45278598427506E-37</v>
      </c>
      <c r="B539">
        <v>-0.88738131448375801</v>
      </c>
      <c r="C539">
        <v>1</v>
      </c>
      <c r="D539">
        <v>0.95899999999999996</v>
      </c>
      <c r="E539">
        <v>2.2493485394530701E-33</v>
      </c>
      <c r="F539">
        <v>1</v>
      </c>
      <c r="G539" t="s">
        <v>1615</v>
      </c>
      <c r="H539" t="s">
        <v>1616</v>
      </c>
      <c r="I539" t="s">
        <v>1615</v>
      </c>
      <c r="J539" s="1" t="str">
        <f>HYPERLINK("https://zfin.org/ZDB-GENE-030131-8756")</f>
        <v>https://zfin.org/ZDB-GENE-030131-8756</v>
      </c>
      <c r="K539" t="s">
        <v>1617</v>
      </c>
    </row>
    <row r="540" spans="1:11" x14ac:dyDescent="0.2">
      <c r="A540">
        <v>1.57562155865929E-37</v>
      </c>
      <c r="B540">
        <v>0.67282362082736802</v>
      </c>
      <c r="C540">
        <v>0.67500000000000004</v>
      </c>
      <c r="D540">
        <v>0.157</v>
      </c>
      <c r="E540">
        <v>2.4395348592721701E-33</v>
      </c>
      <c r="F540">
        <v>1</v>
      </c>
      <c r="G540" t="s">
        <v>1618</v>
      </c>
      <c r="H540" t="s">
        <v>1619</v>
      </c>
      <c r="I540" t="s">
        <v>1618</v>
      </c>
      <c r="J540" s="1" t="str">
        <f>HYPERLINK("https://zfin.org/ZDB-GENE-030711-3")</f>
        <v>https://zfin.org/ZDB-GENE-030711-3</v>
      </c>
      <c r="K540" t="s">
        <v>1620</v>
      </c>
    </row>
    <row r="541" spans="1:11" x14ac:dyDescent="0.2">
      <c r="A541">
        <v>1.68023442220774E-37</v>
      </c>
      <c r="B541">
        <v>0.27373825003008201</v>
      </c>
      <c r="C541">
        <v>0.16700000000000001</v>
      </c>
      <c r="D541">
        <v>5.0000000000000001E-3</v>
      </c>
      <c r="E541">
        <v>2.60150695590425E-33</v>
      </c>
      <c r="F541">
        <v>1</v>
      </c>
      <c r="G541" t="s">
        <v>1621</v>
      </c>
      <c r="H541" t="s">
        <v>1622</v>
      </c>
      <c r="I541" t="s">
        <v>1621</v>
      </c>
      <c r="J541" s="1" t="str">
        <f>HYPERLINK("https://zfin.org/ZDB-GENE-030317-1")</f>
        <v>https://zfin.org/ZDB-GENE-030317-1</v>
      </c>
      <c r="K541" t="s">
        <v>1623</v>
      </c>
    </row>
    <row r="542" spans="1:11" x14ac:dyDescent="0.2">
      <c r="A542">
        <v>2.0309092297077201E-37</v>
      </c>
      <c r="B542">
        <v>-1.3251341982357701</v>
      </c>
      <c r="C542">
        <v>0.64</v>
      </c>
      <c r="D542">
        <v>0.89900000000000002</v>
      </c>
      <c r="E542">
        <v>3.1444567603564601E-33</v>
      </c>
      <c r="F542">
        <v>1</v>
      </c>
      <c r="G542" t="s">
        <v>1624</v>
      </c>
      <c r="H542" t="s">
        <v>1625</v>
      </c>
      <c r="I542" t="s">
        <v>1624</v>
      </c>
      <c r="J542" s="1" t="str">
        <f>HYPERLINK("https://zfin.org/ZDB-GENE-990708-8")</f>
        <v>https://zfin.org/ZDB-GENE-990708-8</v>
      </c>
      <c r="K542" t="s">
        <v>1626</v>
      </c>
    </row>
    <row r="543" spans="1:11" x14ac:dyDescent="0.2">
      <c r="A543">
        <v>2.1761386573728899E-37</v>
      </c>
      <c r="B543">
        <v>0.28202248675309999</v>
      </c>
      <c r="C543">
        <v>0.193</v>
      </c>
      <c r="D543">
        <v>8.9999999999999993E-3</v>
      </c>
      <c r="E543">
        <v>3.36931548321045E-33</v>
      </c>
      <c r="F543">
        <v>1</v>
      </c>
      <c r="G543" t="s">
        <v>1627</v>
      </c>
      <c r="H543" t="s">
        <v>1628</v>
      </c>
      <c r="I543" t="s">
        <v>1627</v>
      </c>
      <c r="J543" s="1" t="str">
        <f>HYPERLINK("https://zfin.org/")</f>
        <v>https://zfin.org/</v>
      </c>
    </row>
    <row r="544" spans="1:11" x14ac:dyDescent="0.2">
      <c r="A544">
        <v>4.1940124993978201E-37</v>
      </c>
      <c r="B544">
        <v>0.29104145824215999</v>
      </c>
      <c r="C544">
        <v>0.20200000000000001</v>
      </c>
      <c r="D544">
        <v>0.01</v>
      </c>
      <c r="E544">
        <v>6.4935895528176396E-33</v>
      </c>
      <c r="F544">
        <v>1</v>
      </c>
      <c r="G544" t="s">
        <v>1629</v>
      </c>
      <c r="H544" t="s">
        <v>1630</v>
      </c>
      <c r="I544" t="s">
        <v>1629</v>
      </c>
      <c r="J544" s="1" t="str">
        <f>HYPERLINK("https://zfin.org/")</f>
        <v>https://zfin.org/</v>
      </c>
    </row>
    <row r="545" spans="1:11" x14ac:dyDescent="0.2">
      <c r="A545">
        <v>5.2959993696922803E-37</v>
      </c>
      <c r="B545">
        <v>0.31436153761400798</v>
      </c>
      <c r="C545">
        <v>0.219</v>
      </c>
      <c r="D545">
        <v>1.2999999999999999E-2</v>
      </c>
      <c r="E545">
        <v>8.1997958240945601E-33</v>
      </c>
      <c r="F545">
        <v>1</v>
      </c>
      <c r="G545" t="s">
        <v>1631</v>
      </c>
      <c r="H545" t="s">
        <v>1632</v>
      </c>
      <c r="I545" t="s">
        <v>1631</v>
      </c>
      <c r="J545" s="1" t="str">
        <f>HYPERLINK("https://zfin.org/ZDB-GENE-070801-3")</f>
        <v>https://zfin.org/ZDB-GENE-070801-3</v>
      </c>
      <c r="K545" t="s">
        <v>1633</v>
      </c>
    </row>
    <row r="546" spans="1:11" x14ac:dyDescent="0.2">
      <c r="A546">
        <v>5.6201110480041799E-37</v>
      </c>
      <c r="B546">
        <v>0.25623729962400799</v>
      </c>
      <c r="C546">
        <v>0.21099999999999999</v>
      </c>
      <c r="D546">
        <v>1.0999999999999999E-2</v>
      </c>
      <c r="E546">
        <v>8.7016179356248694E-33</v>
      </c>
      <c r="F546">
        <v>1</v>
      </c>
      <c r="G546" t="s">
        <v>1634</v>
      </c>
      <c r="H546" t="s">
        <v>1635</v>
      </c>
      <c r="I546" t="s">
        <v>1634</v>
      </c>
      <c r="J546" s="1" t="str">
        <f>HYPERLINK("https://zfin.org/ZDB-GENE-110411-266")</f>
        <v>https://zfin.org/ZDB-GENE-110411-266</v>
      </c>
      <c r="K546" t="s">
        <v>1636</v>
      </c>
    </row>
    <row r="547" spans="1:11" x14ac:dyDescent="0.2">
      <c r="A547">
        <v>7.1366780821135003E-37</v>
      </c>
      <c r="B547">
        <v>0.376725811337696</v>
      </c>
      <c r="C547">
        <v>0.5</v>
      </c>
      <c r="D547">
        <v>8.2000000000000003E-2</v>
      </c>
      <c r="E547">
        <v>1.1049718674536299E-32</v>
      </c>
      <c r="F547">
        <v>1</v>
      </c>
      <c r="G547" t="s">
        <v>1637</v>
      </c>
      <c r="H547" t="s">
        <v>1638</v>
      </c>
      <c r="I547" t="s">
        <v>1637</v>
      </c>
      <c r="J547" s="1" t="str">
        <f>HYPERLINK("https://zfin.org/")</f>
        <v>https://zfin.org/</v>
      </c>
      <c r="K547" t="s">
        <v>1639</v>
      </c>
    </row>
    <row r="548" spans="1:11" x14ac:dyDescent="0.2">
      <c r="A548">
        <v>7.3260434948996296E-37</v>
      </c>
      <c r="B548">
        <v>0.42623776845828598</v>
      </c>
      <c r="C548">
        <v>0.17499999999999999</v>
      </c>
      <c r="D548">
        <v>6.0000000000000001E-3</v>
      </c>
      <c r="E548">
        <v>1.13429131431531E-32</v>
      </c>
      <c r="F548">
        <v>1</v>
      </c>
      <c r="G548" t="s">
        <v>1640</v>
      </c>
      <c r="H548" t="s">
        <v>1641</v>
      </c>
      <c r="I548" t="s">
        <v>1640</v>
      </c>
      <c r="J548" s="1" t="str">
        <f>HYPERLINK("https://zfin.org/ZDB-GENE-040426-1099")</f>
        <v>https://zfin.org/ZDB-GENE-040426-1099</v>
      </c>
      <c r="K548" t="s">
        <v>1642</v>
      </c>
    </row>
    <row r="549" spans="1:11" x14ac:dyDescent="0.2">
      <c r="A549">
        <v>9.0818422428271901E-37</v>
      </c>
      <c r="B549">
        <v>0.25762355325765601</v>
      </c>
      <c r="C549">
        <v>0.17499999999999999</v>
      </c>
      <c r="D549">
        <v>6.0000000000000001E-3</v>
      </c>
      <c r="E549">
        <v>1.40614163445693E-32</v>
      </c>
      <c r="F549">
        <v>1</v>
      </c>
      <c r="G549" t="s">
        <v>1643</v>
      </c>
      <c r="H549" t="s">
        <v>1644</v>
      </c>
      <c r="I549" t="s">
        <v>1643</v>
      </c>
      <c r="J549" s="1" t="str">
        <f>HYPERLINK("https://zfin.org/ZDB-GENE-131121-624")</f>
        <v>https://zfin.org/ZDB-GENE-131121-624</v>
      </c>
      <c r="K549" t="s">
        <v>1645</v>
      </c>
    </row>
    <row r="550" spans="1:11" x14ac:dyDescent="0.2">
      <c r="A550">
        <v>1.1653360405129E-36</v>
      </c>
      <c r="B550">
        <v>0.38242239047571303</v>
      </c>
      <c r="C550">
        <v>0.36</v>
      </c>
      <c r="D550">
        <v>4.2999999999999997E-2</v>
      </c>
      <c r="E550">
        <v>1.8042897915261201E-32</v>
      </c>
      <c r="F550">
        <v>1</v>
      </c>
      <c r="G550" t="s">
        <v>1646</v>
      </c>
      <c r="H550" t="s">
        <v>1647</v>
      </c>
      <c r="I550" t="s">
        <v>1646</v>
      </c>
      <c r="J550" s="1" t="str">
        <f>HYPERLINK("https://zfin.org/ZDB-GENE-020416-2")</f>
        <v>https://zfin.org/ZDB-GENE-020416-2</v>
      </c>
      <c r="K550" t="s">
        <v>1648</v>
      </c>
    </row>
    <row r="551" spans="1:11" x14ac:dyDescent="0.2">
      <c r="A551">
        <v>1.3483187508616001E-36</v>
      </c>
      <c r="B551">
        <v>0.70351923196583799</v>
      </c>
      <c r="C551">
        <v>0.746</v>
      </c>
      <c r="D551">
        <v>0.20300000000000001</v>
      </c>
      <c r="E551">
        <v>2.08760192195902E-32</v>
      </c>
      <c r="F551">
        <v>1</v>
      </c>
      <c r="G551" t="s">
        <v>1649</v>
      </c>
      <c r="H551" t="s">
        <v>1650</v>
      </c>
      <c r="I551" t="s">
        <v>1649</v>
      </c>
      <c r="J551" s="1" t="str">
        <f>HYPERLINK("https://zfin.org/ZDB-GENE-030131-6965")</f>
        <v>https://zfin.org/ZDB-GENE-030131-6965</v>
      </c>
      <c r="K551" t="s">
        <v>1651</v>
      </c>
    </row>
    <row r="552" spans="1:11" x14ac:dyDescent="0.2">
      <c r="A552">
        <v>1.3906452692369401E-36</v>
      </c>
      <c r="B552">
        <v>0.54689995155669102</v>
      </c>
      <c r="C552">
        <v>0.46500000000000002</v>
      </c>
      <c r="D552">
        <v>7.4999999999999997E-2</v>
      </c>
      <c r="E552">
        <v>2.1531360703595499E-32</v>
      </c>
      <c r="F552">
        <v>1</v>
      </c>
      <c r="G552" t="s">
        <v>1652</v>
      </c>
      <c r="H552" t="s">
        <v>1653</v>
      </c>
      <c r="I552" t="s">
        <v>1652</v>
      </c>
      <c r="J552" s="1" t="str">
        <f>HYPERLINK("https://zfin.org/ZDB-GENE-131127-627")</f>
        <v>https://zfin.org/ZDB-GENE-131127-627</v>
      </c>
      <c r="K552" t="s">
        <v>1654</v>
      </c>
    </row>
    <row r="553" spans="1:11" x14ac:dyDescent="0.2">
      <c r="A553">
        <v>1.8145750494764001E-36</v>
      </c>
      <c r="B553">
        <v>0.53915070135808196</v>
      </c>
      <c r="C553">
        <v>0.69299999999999995</v>
      </c>
      <c r="D553">
        <v>0.157</v>
      </c>
      <c r="E553">
        <v>2.8095065491043101E-32</v>
      </c>
      <c r="F553">
        <v>1</v>
      </c>
      <c r="G553" t="s">
        <v>1655</v>
      </c>
      <c r="H553" t="s">
        <v>1656</v>
      </c>
      <c r="I553" t="s">
        <v>1655</v>
      </c>
      <c r="J553" s="1" t="str">
        <f>HYPERLINK("https://zfin.org/ZDB-GENE-020122-3")</f>
        <v>https://zfin.org/ZDB-GENE-020122-3</v>
      </c>
      <c r="K553" t="s">
        <v>1657</v>
      </c>
    </row>
    <row r="554" spans="1:11" x14ac:dyDescent="0.2">
      <c r="A554">
        <v>1.85607783521633E-36</v>
      </c>
      <c r="B554">
        <v>0.28741219196828599</v>
      </c>
      <c r="C554">
        <v>0.28100000000000003</v>
      </c>
      <c r="D554">
        <v>2.5000000000000001E-2</v>
      </c>
      <c r="E554">
        <v>2.8737653122654402E-32</v>
      </c>
      <c r="F554">
        <v>1</v>
      </c>
      <c r="G554" t="s">
        <v>1658</v>
      </c>
      <c r="H554" t="s">
        <v>1659</v>
      </c>
      <c r="I554" t="s">
        <v>1658</v>
      </c>
      <c r="J554" s="1" t="str">
        <f>HYPERLINK("https://zfin.org/")</f>
        <v>https://zfin.org/</v>
      </c>
      <c r="K554" t="s">
        <v>1660</v>
      </c>
    </row>
    <row r="555" spans="1:11" x14ac:dyDescent="0.2">
      <c r="A555">
        <v>2.4039479545751201E-36</v>
      </c>
      <c r="B555">
        <v>0.27211411432038701</v>
      </c>
      <c r="C555">
        <v>0.193</v>
      </c>
      <c r="D555">
        <v>8.9999999999999993E-3</v>
      </c>
      <c r="E555">
        <v>3.7220326180686598E-32</v>
      </c>
      <c r="F555">
        <v>1</v>
      </c>
      <c r="G555" t="s">
        <v>1661</v>
      </c>
      <c r="H555" t="s">
        <v>1662</v>
      </c>
      <c r="I555" t="s">
        <v>1661</v>
      </c>
      <c r="J555" s="1" t="str">
        <f>HYPERLINK("https://zfin.org/ZDB-GENE-091112-20")</f>
        <v>https://zfin.org/ZDB-GENE-091112-20</v>
      </c>
      <c r="K555" t="s">
        <v>1663</v>
      </c>
    </row>
    <row r="556" spans="1:11" x14ac:dyDescent="0.2">
      <c r="A556">
        <v>2.5860425123315499E-36</v>
      </c>
      <c r="B556">
        <v>0.40688187144315902</v>
      </c>
      <c r="C556">
        <v>0.39500000000000002</v>
      </c>
      <c r="D556">
        <v>5.3999999999999999E-2</v>
      </c>
      <c r="E556">
        <v>4.0039696218429399E-32</v>
      </c>
      <c r="F556">
        <v>1</v>
      </c>
      <c r="G556" t="s">
        <v>1664</v>
      </c>
      <c r="H556" t="s">
        <v>1665</v>
      </c>
      <c r="I556" t="s">
        <v>1664</v>
      </c>
      <c r="J556" s="1" t="str">
        <f>HYPERLINK("https://zfin.org/ZDB-GENE-050309-125")</f>
        <v>https://zfin.org/ZDB-GENE-050309-125</v>
      </c>
      <c r="K556" t="s">
        <v>1666</v>
      </c>
    </row>
    <row r="557" spans="1:11" x14ac:dyDescent="0.2">
      <c r="A557">
        <v>2.65456304977463E-36</v>
      </c>
      <c r="B557">
        <v>0.26800894526388103</v>
      </c>
      <c r="C557">
        <v>0.184</v>
      </c>
      <c r="D557">
        <v>8.0000000000000002E-3</v>
      </c>
      <c r="E557">
        <v>4.1100599699660699E-32</v>
      </c>
      <c r="F557">
        <v>1</v>
      </c>
      <c r="G557" t="s">
        <v>1667</v>
      </c>
      <c r="H557" t="s">
        <v>1668</v>
      </c>
      <c r="I557" t="s">
        <v>1667</v>
      </c>
      <c r="J557" s="1" t="str">
        <f>HYPERLINK("https://zfin.org/ZDB-GENE-080220-4")</f>
        <v>https://zfin.org/ZDB-GENE-080220-4</v>
      </c>
      <c r="K557" t="s">
        <v>1669</v>
      </c>
    </row>
    <row r="558" spans="1:11" x14ac:dyDescent="0.2">
      <c r="A558">
        <v>2.6662235790830099E-36</v>
      </c>
      <c r="B558">
        <v>0.770139628549114</v>
      </c>
      <c r="C558">
        <v>0.99099999999999999</v>
      </c>
      <c r="D558">
        <v>0.68700000000000006</v>
      </c>
      <c r="E558">
        <v>4.1281139674942198E-32</v>
      </c>
      <c r="F558">
        <v>1</v>
      </c>
      <c r="G558" t="s">
        <v>1670</v>
      </c>
      <c r="H558" t="s">
        <v>1671</v>
      </c>
      <c r="I558" t="s">
        <v>1670</v>
      </c>
      <c r="J558" s="1" t="str">
        <f>HYPERLINK("https://zfin.org/ZDB-GENE-030131-124")</f>
        <v>https://zfin.org/ZDB-GENE-030131-124</v>
      </c>
      <c r="K558" t="s">
        <v>1672</v>
      </c>
    </row>
    <row r="559" spans="1:11" x14ac:dyDescent="0.2">
      <c r="A559">
        <v>4.0648035923636802E-36</v>
      </c>
      <c r="B559">
        <v>0.49569972665775902</v>
      </c>
      <c r="C559">
        <v>0.50900000000000001</v>
      </c>
      <c r="D559">
        <v>8.8999999999999996E-2</v>
      </c>
      <c r="E559">
        <v>6.2935354020566799E-32</v>
      </c>
      <c r="F559">
        <v>1</v>
      </c>
      <c r="G559" t="s">
        <v>1673</v>
      </c>
      <c r="H559" t="s">
        <v>1674</v>
      </c>
      <c r="I559" t="s">
        <v>1673</v>
      </c>
      <c r="J559" s="1" t="str">
        <f>HYPERLINK("https://zfin.org/ZDB-GENE-000210-34")</f>
        <v>https://zfin.org/ZDB-GENE-000210-34</v>
      </c>
      <c r="K559" t="s">
        <v>1675</v>
      </c>
    </row>
    <row r="560" spans="1:11" x14ac:dyDescent="0.2">
      <c r="A560">
        <v>4.5666108561314098E-36</v>
      </c>
      <c r="B560">
        <v>-0.87253742638424703</v>
      </c>
      <c r="C560">
        <v>1</v>
      </c>
      <c r="D560">
        <v>0.94099999999999995</v>
      </c>
      <c r="E560">
        <v>7.0704835885482698E-32</v>
      </c>
      <c r="F560">
        <v>1</v>
      </c>
      <c r="G560" t="s">
        <v>1676</v>
      </c>
      <c r="H560" t="s">
        <v>1677</v>
      </c>
      <c r="I560" t="s">
        <v>1676</v>
      </c>
      <c r="J560" s="1" t="str">
        <f>HYPERLINK("https://zfin.org/ZDB-GENE-030131-2025")</f>
        <v>https://zfin.org/ZDB-GENE-030131-2025</v>
      </c>
      <c r="K560" t="s">
        <v>1678</v>
      </c>
    </row>
    <row r="561" spans="1:11" x14ac:dyDescent="0.2">
      <c r="A561">
        <v>5.0431057163857197E-36</v>
      </c>
      <c r="B561">
        <v>-0.92973093207694801</v>
      </c>
      <c r="C561">
        <v>0.98199999999999998</v>
      </c>
      <c r="D561">
        <v>0.93300000000000005</v>
      </c>
      <c r="E561">
        <v>7.8082405806800103E-32</v>
      </c>
      <c r="F561">
        <v>1</v>
      </c>
      <c r="G561" t="s">
        <v>1679</v>
      </c>
      <c r="H561" t="s">
        <v>1680</v>
      </c>
      <c r="I561" t="s">
        <v>1679</v>
      </c>
      <c r="J561" s="1" t="str">
        <f>HYPERLINK("https://zfin.org/ZDB-GENE-020423-1")</f>
        <v>https://zfin.org/ZDB-GENE-020423-1</v>
      </c>
      <c r="K561" t="s">
        <v>1681</v>
      </c>
    </row>
    <row r="562" spans="1:11" x14ac:dyDescent="0.2">
      <c r="A562">
        <v>5.1964653665722298E-36</v>
      </c>
      <c r="B562">
        <v>0.77162478787090605</v>
      </c>
      <c r="C562">
        <v>0.89500000000000002</v>
      </c>
      <c r="D562">
        <v>0.30499999999999999</v>
      </c>
      <c r="E562">
        <v>8.0456873270637905E-32</v>
      </c>
      <c r="F562">
        <v>1</v>
      </c>
      <c r="G562" t="s">
        <v>1682</v>
      </c>
      <c r="H562" t="s">
        <v>1683</v>
      </c>
      <c r="I562" t="s">
        <v>1682</v>
      </c>
      <c r="J562" s="1" t="str">
        <f>HYPERLINK("https://zfin.org/ZDB-GENE-040718-336")</f>
        <v>https://zfin.org/ZDB-GENE-040718-336</v>
      </c>
      <c r="K562" t="s">
        <v>1684</v>
      </c>
    </row>
    <row r="563" spans="1:11" x14ac:dyDescent="0.2">
      <c r="A563">
        <v>5.4271982898101202E-36</v>
      </c>
      <c r="B563">
        <v>-1.67843646421621</v>
      </c>
      <c r="C563">
        <v>0.72799999999999998</v>
      </c>
      <c r="D563">
        <v>0.88100000000000001</v>
      </c>
      <c r="E563">
        <v>8.4029311121130098E-32</v>
      </c>
      <c r="F563">
        <v>1</v>
      </c>
      <c r="G563" t="s">
        <v>1685</v>
      </c>
      <c r="H563" t="s">
        <v>1686</v>
      </c>
      <c r="I563" t="s">
        <v>1685</v>
      </c>
      <c r="J563" s="1" t="str">
        <f>HYPERLINK("https://zfin.org/ZDB-GENE-031001-11")</f>
        <v>https://zfin.org/ZDB-GENE-031001-11</v>
      </c>
      <c r="K563" t="s">
        <v>1687</v>
      </c>
    </row>
    <row r="564" spans="1:11" x14ac:dyDescent="0.2">
      <c r="A564">
        <v>5.7099463301074498E-36</v>
      </c>
      <c r="B564">
        <v>0.28391389764331199</v>
      </c>
      <c r="C564">
        <v>0.14899999999999999</v>
      </c>
      <c r="D564">
        <v>4.0000000000000001E-3</v>
      </c>
      <c r="E564">
        <v>8.8407099029053604E-32</v>
      </c>
      <c r="F564">
        <v>1</v>
      </c>
      <c r="G564" t="s">
        <v>1688</v>
      </c>
      <c r="H564" t="s">
        <v>1689</v>
      </c>
      <c r="I564" t="s">
        <v>1688</v>
      </c>
      <c r="J564" s="1" t="str">
        <f>HYPERLINK("https://zfin.org/ZDB-GENE-141222-37")</f>
        <v>https://zfin.org/ZDB-GENE-141222-37</v>
      </c>
      <c r="K564" t="s">
        <v>1690</v>
      </c>
    </row>
    <row r="565" spans="1:11" x14ac:dyDescent="0.2">
      <c r="A565">
        <v>5.77916545588806E-36</v>
      </c>
      <c r="B565">
        <v>0.98024896337546996</v>
      </c>
      <c r="C565">
        <v>0.91200000000000003</v>
      </c>
      <c r="D565">
        <v>0.36599999999999999</v>
      </c>
      <c r="E565">
        <v>8.9478818753514796E-32</v>
      </c>
      <c r="F565">
        <v>1</v>
      </c>
      <c r="G565" t="s">
        <v>1691</v>
      </c>
      <c r="H565" t="s">
        <v>1692</v>
      </c>
      <c r="I565" t="s">
        <v>1691</v>
      </c>
      <c r="J565" s="1" t="str">
        <f>HYPERLINK("https://zfin.org/ZDB-GENE-030131-7787")</f>
        <v>https://zfin.org/ZDB-GENE-030131-7787</v>
      </c>
      <c r="K565" t="s">
        <v>1693</v>
      </c>
    </row>
    <row r="566" spans="1:11" x14ac:dyDescent="0.2">
      <c r="A566">
        <v>6.3518245842306705E-36</v>
      </c>
      <c r="B566">
        <v>-0.96071153034114498</v>
      </c>
      <c r="C566">
        <v>0.95599999999999996</v>
      </c>
      <c r="D566">
        <v>0.93</v>
      </c>
      <c r="E566">
        <v>9.8345300037643498E-32</v>
      </c>
      <c r="F566">
        <v>1</v>
      </c>
      <c r="G566" t="s">
        <v>1694</v>
      </c>
      <c r="H566" t="s">
        <v>1695</v>
      </c>
      <c r="I566" t="s">
        <v>1694</v>
      </c>
      <c r="J566" s="1" t="str">
        <f>HYPERLINK("https://zfin.org/ZDB-GENE-020419-2")</f>
        <v>https://zfin.org/ZDB-GENE-020419-2</v>
      </c>
      <c r="K566" t="s">
        <v>1696</v>
      </c>
    </row>
    <row r="567" spans="1:11" x14ac:dyDescent="0.2">
      <c r="A567">
        <v>6.5591149368382495E-36</v>
      </c>
      <c r="B567">
        <v>-0.99616830617849195</v>
      </c>
      <c r="C567">
        <v>0.93899999999999995</v>
      </c>
      <c r="D567">
        <v>0.92300000000000004</v>
      </c>
      <c r="E567">
        <v>1.01554776567067E-31</v>
      </c>
      <c r="F567">
        <v>1</v>
      </c>
      <c r="G567" t="s">
        <v>1697</v>
      </c>
      <c r="H567" t="s">
        <v>1698</v>
      </c>
      <c r="I567" t="s">
        <v>1697</v>
      </c>
      <c r="J567" s="1" t="str">
        <f>HYPERLINK("https://zfin.org/ZDB-GENE-030131-8631")</f>
        <v>https://zfin.org/ZDB-GENE-030131-8631</v>
      </c>
      <c r="K567" t="s">
        <v>1699</v>
      </c>
    </row>
    <row r="568" spans="1:11" x14ac:dyDescent="0.2">
      <c r="A568">
        <v>7.0449431773780899E-36</v>
      </c>
      <c r="B568">
        <v>0.292466412338104</v>
      </c>
      <c r="C568">
        <v>0.254</v>
      </c>
      <c r="D568">
        <v>0.02</v>
      </c>
      <c r="E568">
        <v>1.0907685521534499E-31</v>
      </c>
      <c r="F568">
        <v>1</v>
      </c>
      <c r="G568" t="s">
        <v>1700</v>
      </c>
      <c r="H568" t="s">
        <v>1701</v>
      </c>
      <c r="I568" t="s">
        <v>1700</v>
      </c>
      <c r="J568" s="1" t="str">
        <f>HYPERLINK("https://zfin.org/ZDB-GENE-050522-307")</f>
        <v>https://zfin.org/ZDB-GENE-050522-307</v>
      </c>
      <c r="K568" t="s">
        <v>1702</v>
      </c>
    </row>
    <row r="569" spans="1:11" x14ac:dyDescent="0.2">
      <c r="A569">
        <v>7.4025053482934898E-36</v>
      </c>
      <c r="B569">
        <v>0.83059427075438097</v>
      </c>
      <c r="C569">
        <v>0.98199999999999998</v>
      </c>
      <c r="D569">
        <v>0.44700000000000001</v>
      </c>
      <c r="E569">
        <v>1.1461299030762799E-31</v>
      </c>
      <c r="F569">
        <v>1</v>
      </c>
      <c r="G569" t="s">
        <v>1703</v>
      </c>
      <c r="H569" t="s">
        <v>1704</v>
      </c>
      <c r="I569" t="s">
        <v>1703</v>
      </c>
      <c r="J569" s="1" t="str">
        <f>HYPERLINK("https://zfin.org/ZDB-GENE-071015-3")</f>
        <v>https://zfin.org/ZDB-GENE-071015-3</v>
      </c>
      <c r="K569" t="s">
        <v>1705</v>
      </c>
    </row>
    <row r="570" spans="1:11" x14ac:dyDescent="0.2">
      <c r="A570">
        <v>8.2496337385095605E-36</v>
      </c>
      <c r="B570">
        <v>-0.86213187395451296</v>
      </c>
      <c r="C570">
        <v>0.99099999999999999</v>
      </c>
      <c r="D570">
        <v>0.95399999999999996</v>
      </c>
      <c r="E570">
        <v>1.2772907917334299E-31</v>
      </c>
      <c r="F570">
        <v>1</v>
      </c>
      <c r="G570" t="s">
        <v>1706</v>
      </c>
      <c r="H570" t="s">
        <v>1707</v>
      </c>
      <c r="I570" t="s">
        <v>1706</v>
      </c>
      <c r="J570" s="1" t="str">
        <f>HYPERLINK("https://zfin.org/ZDB-GENE-040625-51")</f>
        <v>https://zfin.org/ZDB-GENE-040625-51</v>
      </c>
      <c r="K570" t="s">
        <v>1708</v>
      </c>
    </row>
    <row r="571" spans="1:11" x14ac:dyDescent="0.2">
      <c r="A571">
        <v>8.4627713131455795E-36</v>
      </c>
      <c r="B571">
        <v>0.436629744836741</v>
      </c>
      <c r="C571">
        <v>0.41199999999999998</v>
      </c>
      <c r="D571">
        <v>0.06</v>
      </c>
      <c r="E571">
        <v>1.3102908824143301E-31</v>
      </c>
      <c r="F571">
        <v>1</v>
      </c>
      <c r="G571" t="s">
        <v>1709</v>
      </c>
      <c r="H571" t="s">
        <v>1710</v>
      </c>
      <c r="I571" t="s">
        <v>1709</v>
      </c>
      <c r="J571" s="1" t="str">
        <f>HYPERLINK("https://zfin.org/ZDB-GENE-040426-2380")</f>
        <v>https://zfin.org/ZDB-GENE-040426-2380</v>
      </c>
      <c r="K571" t="s">
        <v>1711</v>
      </c>
    </row>
    <row r="572" spans="1:11" x14ac:dyDescent="0.2">
      <c r="A572">
        <v>8.4837422590441594E-36</v>
      </c>
      <c r="B572">
        <v>-0.90737499940718602</v>
      </c>
      <c r="C572">
        <v>0.98199999999999998</v>
      </c>
      <c r="D572">
        <v>0.96299999999999997</v>
      </c>
      <c r="E572">
        <v>1.31353781396781E-31</v>
      </c>
      <c r="F572">
        <v>1</v>
      </c>
      <c r="G572" t="s">
        <v>1712</v>
      </c>
      <c r="H572" t="s">
        <v>1713</v>
      </c>
      <c r="I572" t="s">
        <v>1712</v>
      </c>
      <c r="J572" s="1" t="str">
        <f>HYPERLINK("https://zfin.org/ZDB-GENE-030131-8951")</f>
        <v>https://zfin.org/ZDB-GENE-030131-8951</v>
      </c>
      <c r="K572" t="s">
        <v>1714</v>
      </c>
    </row>
    <row r="573" spans="1:11" x14ac:dyDescent="0.2">
      <c r="A573">
        <v>1.13209094594132E-35</v>
      </c>
      <c r="B573">
        <v>-0.83875296002015998</v>
      </c>
      <c r="C573">
        <v>0.97399999999999998</v>
      </c>
      <c r="D573">
        <v>0.97199999999999998</v>
      </c>
      <c r="E573">
        <v>1.75281641160095E-31</v>
      </c>
      <c r="F573">
        <v>1</v>
      </c>
      <c r="G573" t="s">
        <v>1715</v>
      </c>
      <c r="H573" t="s">
        <v>1716</v>
      </c>
      <c r="I573" t="s">
        <v>1715</v>
      </c>
      <c r="J573" s="1" t="str">
        <f>HYPERLINK("https://zfin.org/ZDB-GENE-040426-811")</f>
        <v>https://zfin.org/ZDB-GENE-040426-811</v>
      </c>
      <c r="K573" t="s">
        <v>1717</v>
      </c>
    </row>
    <row r="574" spans="1:11" x14ac:dyDescent="0.2">
      <c r="A574">
        <v>1.14425847948471E-35</v>
      </c>
      <c r="B574">
        <v>0.41670737634426203</v>
      </c>
      <c r="C574">
        <v>0.316</v>
      </c>
      <c r="D574">
        <v>3.4000000000000002E-2</v>
      </c>
      <c r="E574">
        <v>1.77165540378617E-31</v>
      </c>
      <c r="F574">
        <v>1</v>
      </c>
      <c r="G574" t="s">
        <v>1718</v>
      </c>
      <c r="H574" t="s">
        <v>1719</v>
      </c>
      <c r="I574" t="s">
        <v>1718</v>
      </c>
      <c r="J574" s="1" t="str">
        <f>HYPERLINK("https://zfin.org/ZDB-GENE-131127-55")</f>
        <v>https://zfin.org/ZDB-GENE-131127-55</v>
      </c>
      <c r="K574" t="s">
        <v>1720</v>
      </c>
    </row>
    <row r="575" spans="1:11" x14ac:dyDescent="0.2">
      <c r="A575">
        <v>1.18516706898386E-35</v>
      </c>
      <c r="B575">
        <v>0.39795229559971701</v>
      </c>
      <c r="C575">
        <v>0.316</v>
      </c>
      <c r="D575">
        <v>3.4000000000000002E-2</v>
      </c>
      <c r="E575">
        <v>1.8349941729077201E-31</v>
      </c>
      <c r="F575">
        <v>1</v>
      </c>
      <c r="G575" t="s">
        <v>1721</v>
      </c>
      <c r="H575" t="s">
        <v>1722</v>
      </c>
      <c r="I575" t="s">
        <v>1721</v>
      </c>
      <c r="J575" s="1" t="str">
        <f>HYPERLINK("https://zfin.org/ZDB-GENE-040426-1083")</f>
        <v>https://zfin.org/ZDB-GENE-040426-1083</v>
      </c>
      <c r="K575" t="s">
        <v>1723</v>
      </c>
    </row>
    <row r="576" spans="1:11" x14ac:dyDescent="0.2">
      <c r="A576">
        <v>1.3430305238390001E-35</v>
      </c>
      <c r="B576">
        <v>0.489764348555912</v>
      </c>
      <c r="C576">
        <v>0.50900000000000001</v>
      </c>
      <c r="D576">
        <v>9.1999999999999998E-2</v>
      </c>
      <c r="E576">
        <v>2.0794141600599302E-31</v>
      </c>
      <c r="F576">
        <v>1</v>
      </c>
      <c r="G576" t="s">
        <v>1724</v>
      </c>
      <c r="H576" t="s">
        <v>1725</v>
      </c>
      <c r="I576" t="s">
        <v>1724</v>
      </c>
      <c r="J576" s="1" t="str">
        <f>HYPERLINK("https://zfin.org/ZDB-GENE-030131-8451")</f>
        <v>https://zfin.org/ZDB-GENE-030131-8451</v>
      </c>
      <c r="K576" t="s">
        <v>1726</v>
      </c>
    </row>
    <row r="577" spans="1:11" x14ac:dyDescent="0.2">
      <c r="A577">
        <v>1.5376204494304899E-35</v>
      </c>
      <c r="B577">
        <v>0.49859232393073999</v>
      </c>
      <c r="C577">
        <v>0.51800000000000002</v>
      </c>
      <c r="D577">
        <v>9.4E-2</v>
      </c>
      <c r="E577">
        <v>2.38069774185324E-31</v>
      </c>
      <c r="F577">
        <v>1</v>
      </c>
      <c r="G577" t="s">
        <v>1727</v>
      </c>
      <c r="H577" t="s">
        <v>1728</v>
      </c>
      <c r="I577" t="s">
        <v>1727</v>
      </c>
      <c r="J577" s="1" t="str">
        <f>HYPERLINK("https://zfin.org/ZDB-GENE-111229-2")</f>
        <v>https://zfin.org/ZDB-GENE-111229-2</v>
      </c>
      <c r="K577" t="s">
        <v>1729</v>
      </c>
    </row>
    <row r="578" spans="1:11" x14ac:dyDescent="0.2">
      <c r="A578">
        <v>1.87055491981831E-35</v>
      </c>
      <c r="B578">
        <v>-0.96011775030092095</v>
      </c>
      <c r="C578">
        <v>0.93899999999999995</v>
      </c>
      <c r="D578">
        <v>0.92800000000000005</v>
      </c>
      <c r="E578">
        <v>2.89618018235469E-31</v>
      </c>
      <c r="F578">
        <v>1</v>
      </c>
      <c r="G578" t="s">
        <v>1730</v>
      </c>
      <c r="H578" t="s">
        <v>1731</v>
      </c>
      <c r="I578" t="s">
        <v>1730</v>
      </c>
      <c r="J578" s="1" t="str">
        <f>HYPERLINK("https://zfin.org/ZDB-GENE-040426-1481")</f>
        <v>https://zfin.org/ZDB-GENE-040426-1481</v>
      </c>
      <c r="K578" t="s">
        <v>1732</v>
      </c>
    </row>
    <row r="579" spans="1:11" x14ac:dyDescent="0.2">
      <c r="A579">
        <v>2.5269216266227198E-35</v>
      </c>
      <c r="B579">
        <v>-0.95702095976107704</v>
      </c>
      <c r="C579">
        <v>0.96499999999999997</v>
      </c>
      <c r="D579">
        <v>0.92700000000000005</v>
      </c>
      <c r="E579">
        <v>3.91243275449995E-31</v>
      </c>
      <c r="F579">
        <v>1</v>
      </c>
      <c r="G579" t="s">
        <v>1733</v>
      </c>
      <c r="H579" t="s">
        <v>1734</v>
      </c>
      <c r="I579" t="s">
        <v>1733</v>
      </c>
      <c r="J579" s="1" t="str">
        <f>HYPERLINK("https://zfin.org/ZDB-GENE-030131-9184")</f>
        <v>https://zfin.org/ZDB-GENE-030131-9184</v>
      </c>
      <c r="K579" t="s">
        <v>1735</v>
      </c>
    </row>
    <row r="580" spans="1:11" x14ac:dyDescent="0.2">
      <c r="A580">
        <v>2.5461130834832699E-35</v>
      </c>
      <c r="B580">
        <v>0.47379642379523301</v>
      </c>
      <c r="C580">
        <v>0.39500000000000002</v>
      </c>
      <c r="D580">
        <v>5.6000000000000001E-2</v>
      </c>
      <c r="E580">
        <v>3.94214688715715E-31</v>
      </c>
      <c r="F580">
        <v>1</v>
      </c>
      <c r="G580" t="s">
        <v>1736</v>
      </c>
      <c r="H580" t="s">
        <v>1737</v>
      </c>
      <c r="I580" t="s">
        <v>1736</v>
      </c>
      <c r="J580" s="1" t="str">
        <f>HYPERLINK("https://zfin.org/ZDB-GENE-040426-2079")</f>
        <v>https://zfin.org/ZDB-GENE-040426-2079</v>
      </c>
      <c r="K580" t="s">
        <v>1738</v>
      </c>
    </row>
    <row r="581" spans="1:11" x14ac:dyDescent="0.2">
      <c r="A581">
        <v>2.9193906377674401E-35</v>
      </c>
      <c r="B581">
        <v>-1.71167361704799</v>
      </c>
      <c r="C581">
        <v>0.73699999999999999</v>
      </c>
      <c r="D581">
        <v>0.873</v>
      </c>
      <c r="E581">
        <v>4.5200925244553302E-31</v>
      </c>
      <c r="F581">
        <v>1</v>
      </c>
      <c r="G581" t="s">
        <v>1739</v>
      </c>
      <c r="H581" t="s">
        <v>1740</v>
      </c>
      <c r="I581" t="s">
        <v>1739</v>
      </c>
      <c r="J581" s="1" t="str">
        <f>HYPERLINK("https://zfin.org/ZDB-GENE-030131-8304")</f>
        <v>https://zfin.org/ZDB-GENE-030131-8304</v>
      </c>
      <c r="K581" t="s">
        <v>1741</v>
      </c>
    </row>
    <row r="582" spans="1:11" x14ac:dyDescent="0.2">
      <c r="A582">
        <v>3.0368097213641999E-35</v>
      </c>
      <c r="B582">
        <v>-1.00012569634982</v>
      </c>
      <c r="C582">
        <v>0.92100000000000004</v>
      </c>
      <c r="D582">
        <v>0.92900000000000005</v>
      </c>
      <c r="E582">
        <v>4.7018924915881901E-31</v>
      </c>
      <c r="F582">
        <v>1</v>
      </c>
      <c r="G582" t="s">
        <v>1742</v>
      </c>
      <c r="H582" t="s">
        <v>1743</v>
      </c>
      <c r="I582" t="s">
        <v>1742</v>
      </c>
      <c r="J582" s="1" t="str">
        <f>HYPERLINK("https://zfin.org/ZDB-GENE-031007-1")</f>
        <v>https://zfin.org/ZDB-GENE-031007-1</v>
      </c>
      <c r="K582" t="s">
        <v>1744</v>
      </c>
    </row>
    <row r="583" spans="1:11" x14ac:dyDescent="0.2">
      <c r="A583">
        <v>3.38820082502379E-35</v>
      </c>
      <c r="B583">
        <v>-1.66800869434844</v>
      </c>
      <c r="C583">
        <v>0.73699999999999999</v>
      </c>
      <c r="D583">
        <v>0.85599999999999998</v>
      </c>
      <c r="E583">
        <v>5.2459513373843304E-31</v>
      </c>
      <c r="F583">
        <v>1</v>
      </c>
      <c r="G583" t="s">
        <v>1745</v>
      </c>
      <c r="H583" t="s">
        <v>1746</v>
      </c>
      <c r="I583" t="s">
        <v>1745</v>
      </c>
      <c r="J583" s="1" t="str">
        <f>HYPERLINK("https://zfin.org/ZDB-GENE-061111-1")</f>
        <v>https://zfin.org/ZDB-GENE-061111-1</v>
      </c>
      <c r="K583" t="s">
        <v>1747</v>
      </c>
    </row>
    <row r="584" spans="1:11" x14ac:dyDescent="0.2">
      <c r="A584">
        <v>3.5123203077598398E-35</v>
      </c>
      <c r="B584">
        <v>0.55689311010408005</v>
      </c>
      <c r="C584">
        <v>1</v>
      </c>
      <c r="D584">
        <v>0.96899999999999997</v>
      </c>
      <c r="E584">
        <v>5.4381255325045599E-31</v>
      </c>
      <c r="F584">
        <v>1</v>
      </c>
      <c r="G584" t="s">
        <v>1748</v>
      </c>
      <c r="H584" t="s">
        <v>1749</v>
      </c>
      <c r="I584" t="s">
        <v>1748</v>
      </c>
      <c r="J584" s="1" t="str">
        <f>HYPERLINK("https://zfin.org/ZDB-GENE-990415-92")</f>
        <v>https://zfin.org/ZDB-GENE-990415-92</v>
      </c>
      <c r="K584" t="s">
        <v>1750</v>
      </c>
    </row>
    <row r="585" spans="1:11" x14ac:dyDescent="0.2">
      <c r="A585">
        <v>4.1073313290242498E-35</v>
      </c>
      <c r="B585">
        <v>0.29680597911892298</v>
      </c>
      <c r="C585">
        <v>0.254</v>
      </c>
      <c r="D585">
        <v>2.1000000000000001E-2</v>
      </c>
      <c r="E585">
        <v>6.3593810967282498E-31</v>
      </c>
      <c r="F585">
        <v>1</v>
      </c>
      <c r="G585" t="s">
        <v>1751</v>
      </c>
      <c r="H585" t="s">
        <v>1752</v>
      </c>
      <c r="I585" t="s">
        <v>1751</v>
      </c>
      <c r="J585" s="1" t="str">
        <f>HYPERLINK("https://zfin.org/ZDB-GENE-041212-54")</f>
        <v>https://zfin.org/ZDB-GENE-041212-54</v>
      </c>
      <c r="K585" t="s">
        <v>1753</v>
      </c>
    </row>
    <row r="586" spans="1:11" x14ac:dyDescent="0.2">
      <c r="A586">
        <v>4.1869938410868499E-35</v>
      </c>
      <c r="B586">
        <v>0.56461646563916201</v>
      </c>
      <c r="C586">
        <v>0.52600000000000002</v>
      </c>
      <c r="D586">
        <v>0.1</v>
      </c>
      <c r="E586">
        <v>6.4827225641547704E-31</v>
      </c>
      <c r="F586">
        <v>1</v>
      </c>
      <c r="G586" t="s">
        <v>1754</v>
      </c>
      <c r="H586" t="s">
        <v>1755</v>
      </c>
      <c r="I586" t="s">
        <v>1754</v>
      </c>
      <c r="J586" s="1" t="str">
        <f>HYPERLINK("https://zfin.org/ZDB-GENE-040426-2503")</f>
        <v>https://zfin.org/ZDB-GENE-040426-2503</v>
      </c>
      <c r="K586" t="s">
        <v>1756</v>
      </c>
    </row>
    <row r="587" spans="1:11" x14ac:dyDescent="0.2">
      <c r="A587">
        <v>4.42921679217363E-35</v>
      </c>
      <c r="B587">
        <v>0.42235808669670899</v>
      </c>
      <c r="C587">
        <v>0.158</v>
      </c>
      <c r="D587">
        <v>5.0000000000000001E-3</v>
      </c>
      <c r="E587">
        <v>6.8577563593224296E-31</v>
      </c>
      <c r="F587">
        <v>1</v>
      </c>
      <c r="G587" t="s">
        <v>1757</v>
      </c>
      <c r="H587" t="s">
        <v>1758</v>
      </c>
      <c r="I587" t="s">
        <v>1757</v>
      </c>
      <c r="J587" s="1" t="str">
        <f>HYPERLINK("https://zfin.org/")</f>
        <v>https://zfin.org/</v>
      </c>
      <c r="K587" t="s">
        <v>1759</v>
      </c>
    </row>
    <row r="588" spans="1:11" x14ac:dyDescent="0.2">
      <c r="A588">
        <v>5.1021631482087802E-35</v>
      </c>
      <c r="B588">
        <v>0.515694933408686</v>
      </c>
      <c r="C588">
        <v>0.58799999999999997</v>
      </c>
      <c r="D588">
        <v>0.11899999999999999</v>
      </c>
      <c r="E588">
        <v>7.8996792023716605E-31</v>
      </c>
      <c r="F588">
        <v>1</v>
      </c>
      <c r="G588" t="s">
        <v>1760</v>
      </c>
      <c r="H588" t="s">
        <v>1761</v>
      </c>
      <c r="I588" t="s">
        <v>1760</v>
      </c>
      <c r="J588" s="1" t="str">
        <f>HYPERLINK("https://zfin.org/ZDB-GENE-030131-7447")</f>
        <v>https://zfin.org/ZDB-GENE-030131-7447</v>
      </c>
      <c r="K588" t="s">
        <v>1762</v>
      </c>
    </row>
    <row r="589" spans="1:11" x14ac:dyDescent="0.2">
      <c r="A589">
        <v>6.0040597988512198E-35</v>
      </c>
      <c r="B589">
        <v>-0.97318321835277499</v>
      </c>
      <c r="C589">
        <v>0.94699999999999995</v>
      </c>
      <c r="D589">
        <v>0.93</v>
      </c>
      <c r="E589">
        <v>9.2960857865613395E-31</v>
      </c>
      <c r="F589">
        <v>1</v>
      </c>
      <c r="G589" t="s">
        <v>1763</v>
      </c>
      <c r="H589" t="s">
        <v>1764</v>
      </c>
      <c r="I589" t="s">
        <v>1763</v>
      </c>
      <c r="J589" s="1" t="str">
        <f>HYPERLINK("https://zfin.org/ZDB-GENE-040109-5")</f>
        <v>https://zfin.org/ZDB-GENE-040109-5</v>
      </c>
      <c r="K589" t="s">
        <v>1765</v>
      </c>
    </row>
    <row r="590" spans="1:11" x14ac:dyDescent="0.2">
      <c r="A590">
        <v>7.0006492311814402E-35</v>
      </c>
      <c r="B590">
        <v>0.29467191930905801</v>
      </c>
      <c r="C590">
        <v>0.246</v>
      </c>
      <c r="D590">
        <v>1.9E-2</v>
      </c>
      <c r="E590">
        <v>1.08391052046382E-30</v>
      </c>
      <c r="F590">
        <v>1</v>
      </c>
      <c r="G590" t="s">
        <v>1766</v>
      </c>
      <c r="H590" t="s">
        <v>1767</v>
      </c>
      <c r="I590" t="s">
        <v>1766</v>
      </c>
      <c r="J590" s="1" t="str">
        <f>HYPERLINK("https://zfin.org/ZDB-GENE-100921-1")</f>
        <v>https://zfin.org/ZDB-GENE-100921-1</v>
      </c>
      <c r="K590" t="s">
        <v>1768</v>
      </c>
    </row>
    <row r="591" spans="1:11" x14ac:dyDescent="0.2">
      <c r="A591">
        <v>8.8135114500547205E-35</v>
      </c>
      <c r="B591">
        <v>0.29627737522938902</v>
      </c>
      <c r="C591">
        <v>0.23699999999999999</v>
      </c>
      <c r="D591">
        <v>1.7999999999999999E-2</v>
      </c>
      <c r="E591">
        <v>1.3645959778119701E-30</v>
      </c>
      <c r="F591">
        <v>1</v>
      </c>
      <c r="G591" t="s">
        <v>1769</v>
      </c>
      <c r="H591" t="s">
        <v>1770</v>
      </c>
      <c r="I591" t="s">
        <v>1769</v>
      </c>
      <c r="J591" s="1" t="str">
        <f>HYPERLINK("https://zfin.org/ZDB-GENE-040704-49")</f>
        <v>https://zfin.org/ZDB-GENE-040704-49</v>
      </c>
      <c r="K591" t="s">
        <v>1771</v>
      </c>
    </row>
    <row r="592" spans="1:11" x14ac:dyDescent="0.2">
      <c r="A592">
        <v>9.1624127938757097E-35</v>
      </c>
      <c r="B592">
        <v>0.28472930422545301</v>
      </c>
      <c r="C592">
        <v>0.193</v>
      </c>
      <c r="D592">
        <v>0.01</v>
      </c>
      <c r="E592">
        <v>1.4186163728757801E-30</v>
      </c>
      <c r="F592">
        <v>1</v>
      </c>
      <c r="G592" t="s">
        <v>1772</v>
      </c>
      <c r="H592" t="s">
        <v>1773</v>
      </c>
      <c r="I592" t="s">
        <v>1772</v>
      </c>
      <c r="J592" s="1" t="str">
        <f>HYPERLINK("https://zfin.org/ZDB-GENE-061103-409")</f>
        <v>https://zfin.org/ZDB-GENE-061103-409</v>
      </c>
      <c r="K592" t="s">
        <v>1774</v>
      </c>
    </row>
    <row r="593" spans="1:11" x14ac:dyDescent="0.2">
      <c r="A593">
        <v>1.13089890969269E-34</v>
      </c>
      <c r="B593">
        <v>-0.85878076009708804</v>
      </c>
      <c r="C593">
        <v>1</v>
      </c>
      <c r="D593">
        <v>0.95799999999999996</v>
      </c>
      <c r="E593">
        <v>1.75097078187719E-30</v>
      </c>
      <c r="F593">
        <v>1</v>
      </c>
      <c r="G593" t="s">
        <v>1775</v>
      </c>
      <c r="H593" t="s">
        <v>1776</v>
      </c>
      <c r="I593" t="s">
        <v>1775</v>
      </c>
      <c r="J593" s="1" t="str">
        <f>HYPERLINK("https://zfin.org/ZDB-GENE-040622-5")</f>
        <v>https://zfin.org/ZDB-GENE-040622-5</v>
      </c>
      <c r="K593" t="s">
        <v>1777</v>
      </c>
    </row>
    <row r="594" spans="1:11" x14ac:dyDescent="0.2">
      <c r="A594">
        <v>1.4210745884775299E-34</v>
      </c>
      <c r="B594">
        <v>0.280571841020749</v>
      </c>
      <c r="C594">
        <v>0.254</v>
      </c>
      <c r="D594">
        <v>2.1000000000000001E-2</v>
      </c>
      <c r="E594">
        <v>2.2002497853397499E-30</v>
      </c>
      <c r="F594">
        <v>1</v>
      </c>
      <c r="G594" t="s">
        <v>1778</v>
      </c>
      <c r="H594" t="s">
        <v>1779</v>
      </c>
      <c r="I594" t="s">
        <v>1778</v>
      </c>
      <c r="J594" s="1" t="str">
        <f>HYPERLINK("https://zfin.org/ZDB-GENE-120813-1")</f>
        <v>https://zfin.org/ZDB-GENE-120813-1</v>
      </c>
      <c r="K594" t="s">
        <v>1780</v>
      </c>
    </row>
    <row r="595" spans="1:11" x14ac:dyDescent="0.2">
      <c r="A595">
        <v>1.42121600611551E-34</v>
      </c>
      <c r="B595">
        <v>0.56038599717461501</v>
      </c>
      <c r="C595">
        <v>0.45600000000000002</v>
      </c>
      <c r="D595">
        <v>7.8E-2</v>
      </c>
      <c r="E595">
        <v>2.20046874226864E-30</v>
      </c>
      <c r="F595">
        <v>1</v>
      </c>
      <c r="G595" t="s">
        <v>1781</v>
      </c>
      <c r="H595" t="s">
        <v>1782</v>
      </c>
      <c r="I595" t="s">
        <v>1781</v>
      </c>
      <c r="J595" s="1" t="str">
        <f>HYPERLINK("https://zfin.org/ZDB-GENE-050417-332")</f>
        <v>https://zfin.org/ZDB-GENE-050417-332</v>
      </c>
      <c r="K595" t="s">
        <v>1783</v>
      </c>
    </row>
    <row r="596" spans="1:11" x14ac:dyDescent="0.2">
      <c r="A596">
        <v>1.5435930767858601E-34</v>
      </c>
      <c r="B596">
        <v>-0.95676436972443801</v>
      </c>
      <c r="C596">
        <v>0.96499999999999997</v>
      </c>
      <c r="D596">
        <v>0.94199999999999995</v>
      </c>
      <c r="E596">
        <v>2.3899451607875402E-30</v>
      </c>
      <c r="F596">
        <v>1</v>
      </c>
      <c r="G596" t="s">
        <v>1784</v>
      </c>
      <c r="H596" t="s">
        <v>1785</v>
      </c>
      <c r="I596" t="s">
        <v>1784</v>
      </c>
      <c r="J596" s="1" t="str">
        <f>HYPERLINK("https://zfin.org/ZDB-GENE-010724-15")</f>
        <v>https://zfin.org/ZDB-GENE-010724-15</v>
      </c>
      <c r="K596" t="s">
        <v>1786</v>
      </c>
    </row>
    <row r="597" spans="1:11" x14ac:dyDescent="0.2">
      <c r="A597">
        <v>1.7595715385886199E-34</v>
      </c>
      <c r="B597">
        <v>0.67036356322212698</v>
      </c>
      <c r="C597">
        <v>0.71099999999999997</v>
      </c>
      <c r="D597">
        <v>0.186</v>
      </c>
      <c r="E597">
        <v>2.7243446131967499E-30</v>
      </c>
      <c r="F597">
        <v>1</v>
      </c>
      <c r="G597" t="s">
        <v>1787</v>
      </c>
      <c r="H597" t="s">
        <v>1788</v>
      </c>
      <c r="I597" t="s">
        <v>1787</v>
      </c>
      <c r="J597" s="1" t="str">
        <f>HYPERLINK("https://zfin.org/ZDB-GENE-030804-10")</f>
        <v>https://zfin.org/ZDB-GENE-030804-10</v>
      </c>
      <c r="K597" t="s">
        <v>1789</v>
      </c>
    </row>
    <row r="598" spans="1:11" x14ac:dyDescent="0.2">
      <c r="A598">
        <v>2.0744775077657101E-34</v>
      </c>
      <c r="B598">
        <v>0.42390645441539299</v>
      </c>
      <c r="C598">
        <v>0.33300000000000002</v>
      </c>
      <c r="D598">
        <v>0.04</v>
      </c>
      <c r="E598">
        <v>3.2119135252736502E-30</v>
      </c>
      <c r="F598">
        <v>1</v>
      </c>
      <c r="G598" t="s">
        <v>1790</v>
      </c>
      <c r="H598" t="s">
        <v>1791</v>
      </c>
      <c r="I598" t="s">
        <v>1790</v>
      </c>
      <c r="J598" s="1" t="str">
        <f>HYPERLINK("https://zfin.org/ZDB-GENE-100209-2")</f>
        <v>https://zfin.org/ZDB-GENE-100209-2</v>
      </c>
      <c r="K598" t="s">
        <v>1792</v>
      </c>
    </row>
    <row r="599" spans="1:11" x14ac:dyDescent="0.2">
      <c r="A599">
        <v>2.15816044788639E-34</v>
      </c>
      <c r="B599">
        <v>-0.91645499693732402</v>
      </c>
      <c r="C599">
        <v>0.95599999999999996</v>
      </c>
      <c r="D599">
        <v>0.93200000000000005</v>
      </c>
      <c r="E599">
        <v>3.3414798214625001E-30</v>
      </c>
      <c r="F599">
        <v>1</v>
      </c>
      <c r="G599" t="s">
        <v>1793</v>
      </c>
      <c r="H599" t="s">
        <v>1794</v>
      </c>
      <c r="I599" t="s">
        <v>1793</v>
      </c>
      <c r="J599" s="1" t="str">
        <f>HYPERLINK("https://zfin.org/ZDB-GENE-040927-19")</f>
        <v>https://zfin.org/ZDB-GENE-040927-19</v>
      </c>
      <c r="K599" t="s">
        <v>1795</v>
      </c>
    </row>
    <row r="600" spans="1:11" x14ac:dyDescent="0.2">
      <c r="A600">
        <v>2.2485400061573299E-34</v>
      </c>
      <c r="B600">
        <v>-0.86246766724027701</v>
      </c>
      <c r="C600">
        <v>0.97399999999999998</v>
      </c>
      <c r="D600">
        <v>0.93600000000000005</v>
      </c>
      <c r="E600">
        <v>3.4814144915333897E-30</v>
      </c>
      <c r="F600">
        <v>1</v>
      </c>
      <c r="G600" t="s">
        <v>1796</v>
      </c>
      <c r="H600" t="s">
        <v>1797</v>
      </c>
      <c r="I600" t="s">
        <v>1796</v>
      </c>
      <c r="J600" s="1" t="str">
        <f>HYPERLINK("https://zfin.org/ZDB-GENE-040930-10")</f>
        <v>https://zfin.org/ZDB-GENE-040930-10</v>
      </c>
      <c r="K600" t="s">
        <v>1798</v>
      </c>
    </row>
    <row r="601" spans="1:11" x14ac:dyDescent="0.2">
      <c r="A601">
        <v>2.4739963023181102E-34</v>
      </c>
      <c r="B601">
        <v>0.81875202034512495</v>
      </c>
      <c r="C601">
        <v>0.97399999999999998</v>
      </c>
      <c r="D601">
        <v>0.52300000000000002</v>
      </c>
      <c r="E601">
        <v>3.8304884748791297E-30</v>
      </c>
      <c r="F601">
        <v>1</v>
      </c>
      <c r="G601" t="s">
        <v>1799</v>
      </c>
      <c r="H601" t="s">
        <v>1800</v>
      </c>
      <c r="I601" t="s">
        <v>1799</v>
      </c>
      <c r="J601" s="1" t="str">
        <f>HYPERLINK("https://zfin.org/ZDB-GENE-040724-95")</f>
        <v>https://zfin.org/ZDB-GENE-040724-95</v>
      </c>
      <c r="K601" t="s">
        <v>1801</v>
      </c>
    </row>
    <row r="602" spans="1:11" x14ac:dyDescent="0.2">
      <c r="A602">
        <v>2.5416547634385901E-34</v>
      </c>
      <c r="B602">
        <v>0.64369083634393098</v>
      </c>
      <c r="C602">
        <v>0.85099999999999998</v>
      </c>
      <c r="D602">
        <v>0.26</v>
      </c>
      <c r="E602">
        <v>3.9352440702319703E-30</v>
      </c>
      <c r="F602">
        <v>1</v>
      </c>
      <c r="G602" t="s">
        <v>1802</v>
      </c>
      <c r="H602" t="s">
        <v>1803</v>
      </c>
      <c r="I602" t="s">
        <v>1802</v>
      </c>
      <c r="J602" s="1" t="str">
        <f>HYPERLINK("https://zfin.org/ZDB-GENE-030131-6514")</f>
        <v>https://zfin.org/ZDB-GENE-030131-6514</v>
      </c>
      <c r="K602" t="s">
        <v>1804</v>
      </c>
    </row>
    <row r="603" spans="1:11" x14ac:dyDescent="0.2">
      <c r="A603">
        <v>2.9834128176708801E-34</v>
      </c>
      <c r="B603">
        <v>-1.46833554819311</v>
      </c>
      <c r="C603">
        <v>0.64</v>
      </c>
      <c r="D603">
        <v>0.83899999999999997</v>
      </c>
      <c r="E603">
        <v>4.6192180655998303E-30</v>
      </c>
      <c r="F603">
        <v>1</v>
      </c>
      <c r="G603" t="s">
        <v>1805</v>
      </c>
      <c r="H603" t="s">
        <v>1806</v>
      </c>
      <c r="I603" t="s">
        <v>1805</v>
      </c>
      <c r="J603" s="1" t="str">
        <f>HYPERLINK("https://zfin.org/ZDB-GENE-050307-5")</f>
        <v>https://zfin.org/ZDB-GENE-050307-5</v>
      </c>
      <c r="K603" t="s">
        <v>1807</v>
      </c>
    </row>
    <row r="604" spans="1:11" x14ac:dyDescent="0.2">
      <c r="A604">
        <v>3.01886570296113E-34</v>
      </c>
      <c r="B604">
        <v>0.63442700415132103</v>
      </c>
      <c r="C604">
        <v>0.78900000000000003</v>
      </c>
      <c r="D604">
        <v>0.22500000000000001</v>
      </c>
      <c r="E604">
        <v>4.6741097678947201E-30</v>
      </c>
      <c r="F604">
        <v>1</v>
      </c>
      <c r="G604" t="s">
        <v>1808</v>
      </c>
      <c r="H604" t="s">
        <v>1809</v>
      </c>
      <c r="I604" t="s">
        <v>1808</v>
      </c>
      <c r="J604" s="1" t="str">
        <f>HYPERLINK("https://zfin.org/ZDB-GENE-030826-21")</f>
        <v>https://zfin.org/ZDB-GENE-030826-21</v>
      </c>
      <c r="K604" t="s">
        <v>1810</v>
      </c>
    </row>
    <row r="605" spans="1:11" x14ac:dyDescent="0.2">
      <c r="A605">
        <v>3.2757327749947201E-34</v>
      </c>
      <c r="B605">
        <v>-1.8652217153751101</v>
      </c>
      <c r="C605">
        <v>0.64</v>
      </c>
      <c r="D605">
        <v>0.85099999999999998</v>
      </c>
      <c r="E605">
        <v>5.07181705552432E-30</v>
      </c>
      <c r="F605">
        <v>1</v>
      </c>
      <c r="G605" t="s">
        <v>1811</v>
      </c>
      <c r="H605" t="s">
        <v>1812</v>
      </c>
      <c r="I605" t="s">
        <v>1813</v>
      </c>
      <c r="J605" s="1" t="str">
        <f>HYPERLINK("https://zfin.org/")</f>
        <v>https://zfin.org/</v>
      </c>
    </row>
    <row r="606" spans="1:11" x14ac:dyDescent="0.2">
      <c r="A606">
        <v>3.38891648338195E-34</v>
      </c>
      <c r="B606">
        <v>-1.9060357900468601</v>
      </c>
      <c r="C606">
        <v>0.60499999999999998</v>
      </c>
      <c r="D606">
        <v>0.83699999999999997</v>
      </c>
      <c r="E606">
        <v>5.2470593912202701E-30</v>
      </c>
      <c r="F606">
        <v>1</v>
      </c>
      <c r="G606" t="s">
        <v>1814</v>
      </c>
      <c r="H606" t="s">
        <v>1815</v>
      </c>
      <c r="I606" t="s">
        <v>1814</v>
      </c>
      <c r="J606" s="1" t="str">
        <f>HYPERLINK("https://zfin.org/ZDB-GENE-050522-73")</f>
        <v>https://zfin.org/ZDB-GENE-050522-73</v>
      </c>
      <c r="K606" t="s">
        <v>1816</v>
      </c>
    </row>
    <row r="607" spans="1:11" x14ac:dyDescent="0.2">
      <c r="A607">
        <v>4.1945998772102596E-34</v>
      </c>
      <c r="B607">
        <v>1.3446779923047001</v>
      </c>
      <c r="C607">
        <v>0.94699999999999995</v>
      </c>
      <c r="D607">
        <v>0.52</v>
      </c>
      <c r="E607">
        <v>6.4944989898846501E-30</v>
      </c>
      <c r="F607">
        <v>1</v>
      </c>
      <c r="G607" t="s">
        <v>1817</v>
      </c>
      <c r="H607" t="s">
        <v>1818</v>
      </c>
      <c r="I607" t="s">
        <v>1817</v>
      </c>
      <c r="J607" s="1" t="str">
        <f>HYPERLINK("https://zfin.org/ZDB-GENE-030131-9170")</f>
        <v>https://zfin.org/ZDB-GENE-030131-9170</v>
      </c>
      <c r="K607" t="s">
        <v>1819</v>
      </c>
    </row>
    <row r="608" spans="1:11" x14ac:dyDescent="0.2">
      <c r="A608">
        <v>4.2068052009569899E-34</v>
      </c>
      <c r="B608">
        <v>-1.5360364645025799</v>
      </c>
      <c r="C608">
        <v>0.63200000000000001</v>
      </c>
      <c r="D608">
        <v>0.83499999999999996</v>
      </c>
      <c r="E608">
        <v>6.5133964926417197E-30</v>
      </c>
      <c r="F608">
        <v>1</v>
      </c>
      <c r="G608" t="s">
        <v>1820</v>
      </c>
      <c r="H608" t="s">
        <v>1821</v>
      </c>
      <c r="I608" t="s">
        <v>1820</v>
      </c>
      <c r="J608" s="1" t="str">
        <f>HYPERLINK("https://zfin.org/ZDB-GENE-030410-1")</f>
        <v>https://zfin.org/ZDB-GENE-030410-1</v>
      </c>
      <c r="K608" t="s">
        <v>1822</v>
      </c>
    </row>
    <row r="609" spans="1:11" x14ac:dyDescent="0.2">
      <c r="A609">
        <v>6.3558181292846501E-34</v>
      </c>
      <c r="B609">
        <v>0.25969164187229299</v>
      </c>
      <c r="C609">
        <v>0.22800000000000001</v>
      </c>
      <c r="D609">
        <v>1.6E-2</v>
      </c>
      <c r="E609">
        <v>9.8407132095714296E-30</v>
      </c>
      <c r="F609">
        <v>1</v>
      </c>
      <c r="G609" t="s">
        <v>1823</v>
      </c>
      <c r="H609" t="s">
        <v>1824</v>
      </c>
      <c r="I609" t="s">
        <v>1823</v>
      </c>
      <c r="J609" s="1" t="str">
        <f>HYPERLINK("https://zfin.org/ZDB-GENE-070112-2222")</f>
        <v>https://zfin.org/ZDB-GENE-070112-2222</v>
      </c>
      <c r="K609" t="s">
        <v>1825</v>
      </c>
    </row>
    <row r="610" spans="1:11" x14ac:dyDescent="0.2">
      <c r="A610">
        <v>6.4780151191119703E-34</v>
      </c>
      <c r="B610">
        <v>0.43248803502007199</v>
      </c>
      <c r="C610">
        <v>0.41199999999999998</v>
      </c>
      <c r="D610">
        <v>6.4000000000000001E-2</v>
      </c>
      <c r="E610">
        <v>1.00299108089211E-29</v>
      </c>
      <c r="F610">
        <v>1</v>
      </c>
      <c r="G610" t="s">
        <v>1826</v>
      </c>
      <c r="H610" t="s">
        <v>1827</v>
      </c>
      <c r="I610" t="s">
        <v>1826</v>
      </c>
      <c r="J610" s="1" t="str">
        <f>HYPERLINK("https://zfin.org/ZDB-GENE-040718-81")</f>
        <v>https://zfin.org/ZDB-GENE-040718-81</v>
      </c>
      <c r="K610" t="s">
        <v>1828</v>
      </c>
    </row>
    <row r="611" spans="1:11" x14ac:dyDescent="0.2">
      <c r="A611">
        <v>6.4832359911452298E-34</v>
      </c>
      <c r="B611">
        <v>0.30946432926981698</v>
      </c>
      <c r="C611">
        <v>0.28899999999999998</v>
      </c>
      <c r="D611">
        <v>2.9000000000000001E-2</v>
      </c>
      <c r="E611">
        <v>1.0037994285090201E-29</v>
      </c>
      <c r="F611">
        <v>1</v>
      </c>
      <c r="G611" t="s">
        <v>1829</v>
      </c>
      <c r="H611" t="s">
        <v>1830</v>
      </c>
      <c r="I611" t="s">
        <v>1829</v>
      </c>
      <c r="J611" s="1" t="str">
        <f>HYPERLINK("https://zfin.org/")</f>
        <v>https://zfin.org/</v>
      </c>
    </row>
    <row r="612" spans="1:11" x14ac:dyDescent="0.2">
      <c r="A612">
        <v>7.6068696958438599E-34</v>
      </c>
      <c r="B612">
        <v>0.26594612040197602</v>
      </c>
      <c r="C612">
        <v>0.184</v>
      </c>
      <c r="D612">
        <v>8.9999999999999993E-3</v>
      </c>
      <c r="E612">
        <v>1.1777716350075001E-29</v>
      </c>
      <c r="F612">
        <v>1</v>
      </c>
      <c r="G612" t="s">
        <v>1831</v>
      </c>
      <c r="H612" t="s">
        <v>1832</v>
      </c>
      <c r="I612" t="s">
        <v>1831</v>
      </c>
      <c r="J612" s="1" t="str">
        <f>HYPERLINK("https://zfin.org/ZDB-GENE-060728-1")</f>
        <v>https://zfin.org/ZDB-GENE-060728-1</v>
      </c>
      <c r="K612" t="s">
        <v>1833</v>
      </c>
    </row>
    <row r="613" spans="1:11" x14ac:dyDescent="0.2">
      <c r="A613">
        <v>9.6613758109093894E-34</v>
      </c>
      <c r="B613">
        <v>0.28050292039921798</v>
      </c>
      <c r="C613">
        <v>0.20200000000000001</v>
      </c>
      <c r="D613">
        <v>1.2E-2</v>
      </c>
      <c r="E613">
        <v>1.4958708168030999E-29</v>
      </c>
      <c r="F613">
        <v>1</v>
      </c>
      <c r="G613" t="s">
        <v>1834</v>
      </c>
      <c r="H613" t="s">
        <v>1835</v>
      </c>
      <c r="I613" t="s">
        <v>1834</v>
      </c>
      <c r="J613" s="1" t="str">
        <f>HYPERLINK("https://zfin.org/ZDB-GENE-131121-25")</f>
        <v>https://zfin.org/ZDB-GENE-131121-25</v>
      </c>
      <c r="K613" t="s">
        <v>1836</v>
      </c>
    </row>
    <row r="614" spans="1:11" x14ac:dyDescent="0.2">
      <c r="A614">
        <v>1.0873692203979E-33</v>
      </c>
      <c r="B614">
        <v>0.34227381117944999</v>
      </c>
      <c r="C614">
        <v>0.254</v>
      </c>
      <c r="D614">
        <v>2.1999999999999999E-2</v>
      </c>
      <c r="E614">
        <v>1.6835737639420699E-29</v>
      </c>
      <c r="F614">
        <v>1</v>
      </c>
      <c r="G614" t="s">
        <v>1837</v>
      </c>
      <c r="H614" t="s">
        <v>1838</v>
      </c>
      <c r="I614" t="s">
        <v>1837</v>
      </c>
      <c r="J614" s="1" t="str">
        <f>HYPERLINK("https://zfin.org/ZDB-GENE-040426-1040")</f>
        <v>https://zfin.org/ZDB-GENE-040426-1040</v>
      </c>
      <c r="K614" t="s">
        <v>1839</v>
      </c>
    </row>
    <row r="615" spans="1:11" x14ac:dyDescent="0.2">
      <c r="A615">
        <v>1.1438043087844101E-33</v>
      </c>
      <c r="B615">
        <v>-0.85604651777040297</v>
      </c>
      <c r="C615">
        <v>0.98199999999999998</v>
      </c>
      <c r="D615">
        <v>0.96099999999999997</v>
      </c>
      <c r="E615">
        <v>1.7709522112908999E-29</v>
      </c>
      <c r="F615">
        <v>1</v>
      </c>
      <c r="G615" t="s">
        <v>1840</v>
      </c>
      <c r="H615" t="s">
        <v>1841</v>
      </c>
      <c r="I615" t="s">
        <v>1840</v>
      </c>
      <c r="J615" s="1" t="str">
        <f>HYPERLINK("https://zfin.org/ZDB-GENE-031001-9")</f>
        <v>https://zfin.org/ZDB-GENE-031001-9</v>
      </c>
      <c r="K615" t="s">
        <v>1842</v>
      </c>
    </row>
    <row r="616" spans="1:11" x14ac:dyDescent="0.2">
      <c r="A616">
        <v>1.2132932425396E-33</v>
      </c>
      <c r="B616">
        <v>0.37513562792375299</v>
      </c>
      <c r="C616">
        <v>0.307</v>
      </c>
      <c r="D616">
        <v>3.4000000000000002E-2</v>
      </c>
      <c r="E616">
        <v>1.8785419274240701E-29</v>
      </c>
      <c r="F616">
        <v>1</v>
      </c>
      <c r="G616" t="s">
        <v>1843</v>
      </c>
      <c r="H616" t="s">
        <v>1844</v>
      </c>
      <c r="I616" t="s">
        <v>1843</v>
      </c>
      <c r="J616" s="1" t="str">
        <f>HYPERLINK("https://zfin.org/ZDB-GENE-030131-574")</f>
        <v>https://zfin.org/ZDB-GENE-030131-574</v>
      </c>
      <c r="K616" t="s">
        <v>1845</v>
      </c>
    </row>
    <row r="617" spans="1:11" x14ac:dyDescent="0.2">
      <c r="A617">
        <v>1.42973020254779E-33</v>
      </c>
      <c r="B617">
        <v>0.44306807459579101</v>
      </c>
      <c r="C617">
        <v>0.377</v>
      </c>
      <c r="D617">
        <v>5.3999999999999999E-2</v>
      </c>
      <c r="E617">
        <v>2.21365127260475E-29</v>
      </c>
      <c r="F617">
        <v>1</v>
      </c>
      <c r="G617" t="s">
        <v>1846</v>
      </c>
      <c r="H617" t="s">
        <v>1847</v>
      </c>
      <c r="I617" t="s">
        <v>1846</v>
      </c>
      <c r="J617" s="1" t="str">
        <f>HYPERLINK("https://zfin.org/ZDB-GENE-061013-114")</f>
        <v>https://zfin.org/ZDB-GENE-061013-114</v>
      </c>
      <c r="K617" t="s">
        <v>1848</v>
      </c>
    </row>
    <row r="618" spans="1:11" x14ac:dyDescent="0.2">
      <c r="A618">
        <v>1.8107657635276199E-33</v>
      </c>
      <c r="B618">
        <v>0.73632229040466501</v>
      </c>
      <c r="C618">
        <v>0.86</v>
      </c>
      <c r="D618">
        <v>0.29599999999999999</v>
      </c>
      <c r="E618">
        <v>2.80360863166981E-29</v>
      </c>
      <c r="F618">
        <v>1</v>
      </c>
      <c r="G618" t="s">
        <v>1849</v>
      </c>
      <c r="H618" t="s">
        <v>1850</v>
      </c>
      <c r="I618" t="s">
        <v>1849</v>
      </c>
      <c r="J618" s="1" t="str">
        <f>HYPERLINK("https://zfin.org/ZDB-GENE-110914-234")</f>
        <v>https://zfin.org/ZDB-GENE-110914-234</v>
      </c>
      <c r="K618" t="s">
        <v>1851</v>
      </c>
    </row>
    <row r="619" spans="1:11" x14ac:dyDescent="0.2">
      <c r="A619">
        <v>1.90975742533104E-33</v>
      </c>
      <c r="B619">
        <v>0.31975998393458499</v>
      </c>
      <c r="C619">
        <v>0.26300000000000001</v>
      </c>
      <c r="D619">
        <v>2.4E-2</v>
      </c>
      <c r="E619">
        <v>2.9568774216400397E-29</v>
      </c>
      <c r="F619">
        <v>1</v>
      </c>
      <c r="G619" t="s">
        <v>1852</v>
      </c>
      <c r="H619" t="s">
        <v>1853</v>
      </c>
      <c r="I619" t="s">
        <v>1852</v>
      </c>
      <c r="J619" s="1" t="str">
        <f>HYPERLINK("https://zfin.org/ZDB-GENE-040714-3")</f>
        <v>https://zfin.org/ZDB-GENE-040714-3</v>
      </c>
      <c r="K619" t="s">
        <v>1854</v>
      </c>
    </row>
    <row r="620" spans="1:11" x14ac:dyDescent="0.2">
      <c r="A620">
        <v>2.5499521678475899E-33</v>
      </c>
      <c r="B620">
        <v>0.69278725094694904</v>
      </c>
      <c r="C620">
        <v>0.86799999999999999</v>
      </c>
      <c r="D620">
        <v>0.29599999999999999</v>
      </c>
      <c r="E620">
        <v>3.9480909414784302E-29</v>
      </c>
      <c r="F620">
        <v>1</v>
      </c>
      <c r="G620" t="s">
        <v>1855</v>
      </c>
      <c r="H620" t="s">
        <v>1856</v>
      </c>
      <c r="I620" t="s">
        <v>1855</v>
      </c>
      <c r="J620" s="1" t="str">
        <f>HYPERLINK("https://zfin.org/ZDB-GENE-040426-1781")</f>
        <v>https://zfin.org/ZDB-GENE-040426-1781</v>
      </c>
      <c r="K620" t="s">
        <v>1857</v>
      </c>
    </row>
    <row r="621" spans="1:11" x14ac:dyDescent="0.2">
      <c r="A621">
        <v>3.5492674183756101E-33</v>
      </c>
      <c r="B621">
        <v>0.30303750412320402</v>
      </c>
      <c r="C621">
        <v>0.33300000000000002</v>
      </c>
      <c r="D621">
        <v>4.1000000000000002E-2</v>
      </c>
      <c r="E621">
        <v>5.4953307438709598E-29</v>
      </c>
      <c r="F621">
        <v>1</v>
      </c>
      <c r="G621" t="s">
        <v>1858</v>
      </c>
      <c r="H621" t="s">
        <v>1859</v>
      </c>
      <c r="I621" t="s">
        <v>1858</v>
      </c>
      <c r="J621" s="1" t="str">
        <f>HYPERLINK("https://zfin.org/ZDB-GENE-040822-15")</f>
        <v>https://zfin.org/ZDB-GENE-040822-15</v>
      </c>
      <c r="K621" t="s">
        <v>1860</v>
      </c>
    </row>
    <row r="622" spans="1:11" x14ac:dyDescent="0.2">
      <c r="A622">
        <v>4.6338136501728103E-33</v>
      </c>
      <c r="B622">
        <v>0.25033168518972398</v>
      </c>
      <c r="C622">
        <v>0.16700000000000001</v>
      </c>
      <c r="D622">
        <v>7.0000000000000001E-3</v>
      </c>
      <c r="E622">
        <v>7.1745336745625599E-29</v>
      </c>
      <c r="F622">
        <v>1</v>
      </c>
      <c r="G622" t="s">
        <v>1861</v>
      </c>
      <c r="H622" t="s">
        <v>1862</v>
      </c>
      <c r="I622" t="s">
        <v>1861</v>
      </c>
      <c r="J622" s="1" t="str">
        <f>HYPERLINK("https://zfin.org/ZDB-GENE-050522-322")</f>
        <v>https://zfin.org/ZDB-GENE-050522-322</v>
      </c>
      <c r="K622" t="s">
        <v>1863</v>
      </c>
    </row>
    <row r="623" spans="1:11" x14ac:dyDescent="0.2">
      <c r="A623">
        <v>4.9628226595069202E-33</v>
      </c>
      <c r="B623">
        <v>0.27935898120776498</v>
      </c>
      <c r="C623">
        <v>0.21099999999999999</v>
      </c>
      <c r="D623">
        <v>1.4E-2</v>
      </c>
      <c r="E623">
        <v>7.6839383237145603E-29</v>
      </c>
      <c r="F623">
        <v>1</v>
      </c>
      <c r="G623" t="s">
        <v>1864</v>
      </c>
      <c r="H623" t="s">
        <v>1865</v>
      </c>
      <c r="I623" t="s">
        <v>1864</v>
      </c>
      <c r="J623" s="1" t="str">
        <f>HYPERLINK("https://zfin.org/")</f>
        <v>https://zfin.org/</v>
      </c>
      <c r="K623" t="s">
        <v>1866</v>
      </c>
    </row>
    <row r="624" spans="1:11" x14ac:dyDescent="0.2">
      <c r="A624">
        <v>5.2162308665551703E-33</v>
      </c>
      <c r="B624">
        <v>-1.5497172489572</v>
      </c>
      <c r="C624">
        <v>0.54400000000000004</v>
      </c>
      <c r="D624">
        <v>0.81899999999999995</v>
      </c>
      <c r="E624">
        <v>8.07629025068737E-29</v>
      </c>
      <c r="F624">
        <v>1</v>
      </c>
      <c r="G624" t="s">
        <v>1867</v>
      </c>
      <c r="H624" t="s">
        <v>1868</v>
      </c>
      <c r="I624" t="s">
        <v>1867</v>
      </c>
      <c r="J624" s="1" t="str">
        <f>HYPERLINK("https://zfin.org/ZDB-GENE-030825-1")</f>
        <v>https://zfin.org/ZDB-GENE-030825-1</v>
      </c>
      <c r="K624" t="s">
        <v>1869</v>
      </c>
    </row>
    <row r="625" spans="1:11" x14ac:dyDescent="0.2">
      <c r="A625">
        <v>6.7812532653883203E-33</v>
      </c>
      <c r="B625">
        <v>0.79693268475297296</v>
      </c>
      <c r="C625">
        <v>0.56999999999999995</v>
      </c>
      <c r="D625">
        <v>0.13400000000000001</v>
      </c>
      <c r="E625">
        <v>1.04994144308007E-28</v>
      </c>
      <c r="F625">
        <v>1</v>
      </c>
      <c r="G625" t="s">
        <v>1870</v>
      </c>
      <c r="H625" t="s">
        <v>1871</v>
      </c>
      <c r="I625" t="s">
        <v>1870</v>
      </c>
      <c r="J625" s="1" t="str">
        <f>HYPERLINK("https://zfin.org/ZDB-GENE-040426-1414")</f>
        <v>https://zfin.org/ZDB-GENE-040426-1414</v>
      </c>
      <c r="K625" t="s">
        <v>1872</v>
      </c>
    </row>
    <row r="626" spans="1:11" x14ac:dyDescent="0.2">
      <c r="A626">
        <v>7.6475462882818506E-33</v>
      </c>
      <c r="B626">
        <v>-0.78337390837689802</v>
      </c>
      <c r="C626">
        <v>1</v>
      </c>
      <c r="D626">
        <v>0.95499999999999996</v>
      </c>
      <c r="E626">
        <v>1.18406959181468E-28</v>
      </c>
      <c r="F626">
        <v>1</v>
      </c>
      <c r="G626" t="s">
        <v>1873</v>
      </c>
      <c r="H626" t="s">
        <v>1874</v>
      </c>
      <c r="I626" t="s">
        <v>1873</v>
      </c>
      <c r="J626" s="1" t="str">
        <f>HYPERLINK("https://zfin.org/ZDB-GENE-050506-107")</f>
        <v>https://zfin.org/ZDB-GENE-050506-107</v>
      </c>
      <c r="K626" t="s">
        <v>1875</v>
      </c>
    </row>
    <row r="627" spans="1:11" x14ac:dyDescent="0.2">
      <c r="A627">
        <v>1.18832519141875E-32</v>
      </c>
      <c r="B627">
        <v>0.275872120584087</v>
      </c>
      <c r="C627">
        <v>0.17499999999999999</v>
      </c>
      <c r="D627">
        <v>8.9999999999999993E-3</v>
      </c>
      <c r="E627">
        <v>1.8398838938736499E-28</v>
      </c>
      <c r="F627">
        <v>1</v>
      </c>
      <c r="G627" t="s">
        <v>1876</v>
      </c>
      <c r="H627" t="s">
        <v>1877</v>
      </c>
      <c r="I627" t="s">
        <v>1876</v>
      </c>
      <c r="J627" s="1" t="str">
        <f>HYPERLINK("https://zfin.org/ZDB-GENE-131121-527")</f>
        <v>https://zfin.org/ZDB-GENE-131121-527</v>
      </c>
      <c r="K627" t="s">
        <v>1878</v>
      </c>
    </row>
    <row r="628" spans="1:11" x14ac:dyDescent="0.2">
      <c r="A628">
        <v>1.4126492429248599E-32</v>
      </c>
      <c r="B628">
        <v>0.38860695292539499</v>
      </c>
      <c r="C628">
        <v>0.14899999999999999</v>
      </c>
      <c r="D628">
        <v>5.0000000000000001E-3</v>
      </c>
      <c r="E628">
        <v>2.1872048228205499E-28</v>
      </c>
      <c r="F628">
        <v>1</v>
      </c>
      <c r="G628" t="s">
        <v>1879</v>
      </c>
      <c r="H628" t="s">
        <v>1880</v>
      </c>
      <c r="I628" t="s">
        <v>1881</v>
      </c>
      <c r="J628" s="1" t="str">
        <f>HYPERLINK("https://zfin.org/ZDB-GENE-081106-1")</f>
        <v>https://zfin.org/ZDB-GENE-081106-1</v>
      </c>
      <c r="K628" t="s">
        <v>1882</v>
      </c>
    </row>
    <row r="629" spans="1:11" x14ac:dyDescent="0.2">
      <c r="A629">
        <v>1.4564831906783299E-32</v>
      </c>
      <c r="B629">
        <v>0.427855157456282</v>
      </c>
      <c r="C629">
        <v>0.53500000000000003</v>
      </c>
      <c r="D629">
        <v>0.105</v>
      </c>
      <c r="E629">
        <v>2.2550729241272602E-28</v>
      </c>
      <c r="F629">
        <v>1</v>
      </c>
      <c r="G629" t="s">
        <v>1883</v>
      </c>
      <c r="H629" t="s">
        <v>1884</v>
      </c>
      <c r="I629" t="s">
        <v>1883</v>
      </c>
      <c r="J629" s="1" t="str">
        <f>HYPERLINK("https://zfin.org/ZDB-GENE-080102-3")</f>
        <v>https://zfin.org/ZDB-GENE-080102-3</v>
      </c>
      <c r="K629" t="s">
        <v>1885</v>
      </c>
    </row>
    <row r="630" spans="1:11" x14ac:dyDescent="0.2">
      <c r="A630">
        <v>2.12258241916822E-32</v>
      </c>
      <c r="B630">
        <v>0.349250991561109</v>
      </c>
      <c r="C630">
        <v>0.39500000000000002</v>
      </c>
      <c r="D630">
        <v>0.06</v>
      </c>
      <c r="E630">
        <v>3.2863943595981601E-28</v>
      </c>
      <c r="F630">
        <v>1</v>
      </c>
      <c r="G630" t="s">
        <v>1886</v>
      </c>
      <c r="H630" t="s">
        <v>1887</v>
      </c>
      <c r="I630" t="s">
        <v>1886</v>
      </c>
      <c r="J630" s="1" t="str">
        <f>HYPERLINK("https://zfin.org/ZDB-GENE-040426-1604")</f>
        <v>https://zfin.org/ZDB-GENE-040426-1604</v>
      </c>
      <c r="K630" t="s">
        <v>1888</v>
      </c>
    </row>
    <row r="631" spans="1:11" x14ac:dyDescent="0.2">
      <c r="A631">
        <v>2.4461878257372599E-32</v>
      </c>
      <c r="B631">
        <v>0.73150277837837097</v>
      </c>
      <c r="C631">
        <v>0.93899999999999995</v>
      </c>
      <c r="D631">
        <v>0.377</v>
      </c>
      <c r="E631">
        <v>3.7874326105890101E-28</v>
      </c>
      <c r="F631">
        <v>1</v>
      </c>
      <c r="G631" t="s">
        <v>1889</v>
      </c>
      <c r="H631" t="s">
        <v>1890</v>
      </c>
      <c r="I631" t="s">
        <v>1889</v>
      </c>
      <c r="J631" s="1" t="str">
        <f>HYPERLINK("https://zfin.org/ZDB-GENE-041111-261")</f>
        <v>https://zfin.org/ZDB-GENE-041111-261</v>
      </c>
      <c r="K631" t="s">
        <v>1891</v>
      </c>
    </row>
    <row r="632" spans="1:11" x14ac:dyDescent="0.2">
      <c r="A632">
        <v>2.4719229674051103E-32</v>
      </c>
      <c r="B632">
        <v>0.40212760279923299</v>
      </c>
      <c r="C632">
        <v>0.45600000000000002</v>
      </c>
      <c r="D632">
        <v>7.9000000000000001E-2</v>
      </c>
      <c r="E632">
        <v>3.8272783304333298E-28</v>
      </c>
      <c r="F632">
        <v>1</v>
      </c>
      <c r="G632" t="s">
        <v>1892</v>
      </c>
      <c r="H632" t="s">
        <v>1893</v>
      </c>
      <c r="I632" t="s">
        <v>1892</v>
      </c>
      <c r="J632" s="1" t="str">
        <f>HYPERLINK("https://zfin.org/ZDB-GENE-040115-2")</f>
        <v>https://zfin.org/ZDB-GENE-040115-2</v>
      </c>
      <c r="K632" t="s">
        <v>1894</v>
      </c>
    </row>
    <row r="633" spans="1:11" x14ac:dyDescent="0.2">
      <c r="A633">
        <v>3.0787440504706501E-32</v>
      </c>
      <c r="B633">
        <v>0.32509426359500898</v>
      </c>
      <c r="C633">
        <v>0.35099999999999998</v>
      </c>
      <c r="D633">
        <v>4.8000000000000001E-2</v>
      </c>
      <c r="E633">
        <v>4.7668194133437099E-28</v>
      </c>
      <c r="F633">
        <v>1</v>
      </c>
      <c r="G633" t="s">
        <v>1895</v>
      </c>
      <c r="H633" t="s">
        <v>1896</v>
      </c>
      <c r="I633" t="s">
        <v>1895</v>
      </c>
      <c r="J633" s="1" t="str">
        <f>HYPERLINK("https://zfin.org/ZDB-GENE-040801-2")</f>
        <v>https://zfin.org/ZDB-GENE-040801-2</v>
      </c>
      <c r="K633" t="s">
        <v>1897</v>
      </c>
    </row>
    <row r="634" spans="1:11" x14ac:dyDescent="0.2">
      <c r="A634">
        <v>3.4627951067281202E-32</v>
      </c>
      <c r="B634">
        <v>-1.0871807546855401</v>
      </c>
      <c r="C634">
        <v>0.86</v>
      </c>
      <c r="D634">
        <v>0.876</v>
      </c>
      <c r="E634">
        <v>5.3614456637471498E-28</v>
      </c>
      <c r="F634">
        <v>1</v>
      </c>
      <c r="G634" t="s">
        <v>1898</v>
      </c>
      <c r="H634" t="s">
        <v>1899</v>
      </c>
      <c r="I634" t="s">
        <v>1898</v>
      </c>
      <c r="J634" s="1" t="str">
        <f>HYPERLINK("https://zfin.org/ZDB-GENE-030131-618")</f>
        <v>https://zfin.org/ZDB-GENE-030131-618</v>
      </c>
      <c r="K634" t="s">
        <v>1900</v>
      </c>
    </row>
    <row r="635" spans="1:11" x14ac:dyDescent="0.2">
      <c r="A635">
        <v>3.7673448657224001E-32</v>
      </c>
      <c r="B635">
        <v>-1.7105920124021901</v>
      </c>
      <c r="C635">
        <v>0.439</v>
      </c>
      <c r="D635">
        <v>0.79500000000000004</v>
      </c>
      <c r="E635">
        <v>5.8329800555979899E-28</v>
      </c>
      <c r="F635">
        <v>1</v>
      </c>
      <c r="G635" t="s">
        <v>1901</v>
      </c>
      <c r="H635" t="s">
        <v>1902</v>
      </c>
      <c r="I635" t="s">
        <v>1901</v>
      </c>
      <c r="J635" s="1" t="str">
        <f>HYPERLINK("https://zfin.org/ZDB-GENE-010129-1")</f>
        <v>https://zfin.org/ZDB-GENE-010129-1</v>
      </c>
      <c r="K635" t="s">
        <v>1903</v>
      </c>
    </row>
    <row r="636" spans="1:11" x14ac:dyDescent="0.2">
      <c r="A636">
        <v>3.7722495369546502E-32</v>
      </c>
      <c r="B636">
        <v>-0.69373273847710004</v>
      </c>
      <c r="C636">
        <v>1</v>
      </c>
      <c r="D636">
        <v>0.97599999999999998</v>
      </c>
      <c r="E636">
        <v>5.8405739580668804E-28</v>
      </c>
      <c r="F636">
        <v>1</v>
      </c>
      <c r="G636" t="s">
        <v>1904</v>
      </c>
      <c r="H636" t="s">
        <v>1905</v>
      </c>
      <c r="I636" t="s">
        <v>1904</v>
      </c>
      <c r="J636" s="1" t="str">
        <f>HYPERLINK("https://zfin.org/ZDB-GENE-060331-105")</f>
        <v>https://zfin.org/ZDB-GENE-060331-105</v>
      </c>
      <c r="K636" t="s">
        <v>1906</v>
      </c>
    </row>
    <row r="637" spans="1:11" x14ac:dyDescent="0.2">
      <c r="A637">
        <v>3.81063469012047E-32</v>
      </c>
      <c r="B637">
        <v>0.52100492675868604</v>
      </c>
      <c r="C637">
        <v>0.66700000000000004</v>
      </c>
      <c r="D637">
        <v>0.16500000000000001</v>
      </c>
      <c r="E637">
        <v>5.9000056907135198E-28</v>
      </c>
      <c r="F637">
        <v>1</v>
      </c>
      <c r="G637" t="s">
        <v>1907</v>
      </c>
      <c r="H637" t="s">
        <v>1908</v>
      </c>
      <c r="I637" t="s">
        <v>1907</v>
      </c>
      <c r="J637" s="1" t="str">
        <f>HYPERLINK("https://zfin.org/ZDB-GENE-040912-49")</f>
        <v>https://zfin.org/ZDB-GENE-040912-49</v>
      </c>
      <c r="K637" t="s">
        <v>1909</v>
      </c>
    </row>
    <row r="638" spans="1:11" x14ac:dyDescent="0.2">
      <c r="A638">
        <v>3.83535125744407E-32</v>
      </c>
      <c r="B638">
        <v>0.60475558605375601</v>
      </c>
      <c r="C638">
        <v>0.76300000000000001</v>
      </c>
      <c r="D638">
        <v>0.215</v>
      </c>
      <c r="E638">
        <v>5.9382743519006496E-28</v>
      </c>
      <c r="F638">
        <v>1</v>
      </c>
      <c r="G638" t="s">
        <v>1910</v>
      </c>
      <c r="H638" t="s">
        <v>1911</v>
      </c>
      <c r="I638" t="s">
        <v>1910</v>
      </c>
      <c r="J638" s="1" t="str">
        <f>HYPERLINK("https://zfin.org/ZDB-GENE-050706-71")</f>
        <v>https://zfin.org/ZDB-GENE-050706-71</v>
      </c>
      <c r="K638" t="s">
        <v>1912</v>
      </c>
    </row>
    <row r="639" spans="1:11" x14ac:dyDescent="0.2">
      <c r="A639">
        <v>3.9259586916994699E-32</v>
      </c>
      <c r="B639">
        <v>0.76895199968389805</v>
      </c>
      <c r="C639">
        <v>0.92100000000000004</v>
      </c>
      <c r="D639">
        <v>0.38200000000000001</v>
      </c>
      <c r="E639">
        <v>6.0785618423582903E-28</v>
      </c>
      <c r="F639">
        <v>1</v>
      </c>
      <c r="G639" t="s">
        <v>1913</v>
      </c>
      <c r="H639" t="s">
        <v>1914</v>
      </c>
      <c r="I639" t="s">
        <v>1913</v>
      </c>
      <c r="J639" s="1" t="str">
        <f>HYPERLINK("https://zfin.org/ZDB-GENE-991026-6")</f>
        <v>https://zfin.org/ZDB-GENE-991026-6</v>
      </c>
      <c r="K639" t="s">
        <v>1915</v>
      </c>
    </row>
    <row r="640" spans="1:11" x14ac:dyDescent="0.2">
      <c r="A640">
        <v>4.14142691822046E-32</v>
      </c>
      <c r="B640">
        <v>0.30738616333513402</v>
      </c>
      <c r="C640">
        <v>0.246</v>
      </c>
      <c r="D640">
        <v>2.1999999999999999E-2</v>
      </c>
      <c r="E640">
        <v>6.4121712974807396E-28</v>
      </c>
      <c r="F640">
        <v>1</v>
      </c>
      <c r="G640" t="s">
        <v>1916</v>
      </c>
      <c r="H640" t="s">
        <v>1917</v>
      </c>
      <c r="I640" t="s">
        <v>1916</v>
      </c>
      <c r="J640" s="1" t="str">
        <f>HYPERLINK("https://zfin.org/ZDB-GENE-041010-163")</f>
        <v>https://zfin.org/ZDB-GENE-041010-163</v>
      </c>
      <c r="K640" t="s">
        <v>1918</v>
      </c>
    </row>
    <row r="641" spans="1:11" x14ac:dyDescent="0.2">
      <c r="A641">
        <v>4.3883792855345301E-32</v>
      </c>
      <c r="B641">
        <v>0.57771977827409704</v>
      </c>
      <c r="C641">
        <v>0.54400000000000004</v>
      </c>
      <c r="D641">
        <v>0.11700000000000001</v>
      </c>
      <c r="E641">
        <v>6.7945276477931196E-28</v>
      </c>
      <c r="F641">
        <v>1</v>
      </c>
      <c r="G641" t="s">
        <v>1919</v>
      </c>
      <c r="H641" t="s">
        <v>1920</v>
      </c>
      <c r="I641" t="s">
        <v>1919</v>
      </c>
      <c r="J641" s="1" t="str">
        <f>HYPERLINK("https://zfin.org/ZDB-GENE-070112-2282")</f>
        <v>https://zfin.org/ZDB-GENE-070112-2282</v>
      </c>
      <c r="K641" t="s">
        <v>1921</v>
      </c>
    </row>
    <row r="642" spans="1:11" x14ac:dyDescent="0.2">
      <c r="A642">
        <v>5.2704776872561505E-32</v>
      </c>
      <c r="B642">
        <v>0.27359743421170302</v>
      </c>
      <c r="C642">
        <v>0.26300000000000001</v>
      </c>
      <c r="D642">
        <v>2.5999999999999999E-2</v>
      </c>
      <c r="E642">
        <v>8.1602806031786905E-28</v>
      </c>
      <c r="F642">
        <v>1</v>
      </c>
      <c r="G642" t="s">
        <v>1922</v>
      </c>
      <c r="H642" t="s">
        <v>1923</v>
      </c>
      <c r="I642" t="s">
        <v>1922</v>
      </c>
      <c r="J642" s="1" t="str">
        <f>HYPERLINK("https://zfin.org/ZDB-GENE-040801-151")</f>
        <v>https://zfin.org/ZDB-GENE-040801-151</v>
      </c>
      <c r="K642" t="s">
        <v>1924</v>
      </c>
    </row>
    <row r="643" spans="1:11" x14ac:dyDescent="0.2">
      <c r="A643">
        <v>5.3053941720613104E-32</v>
      </c>
      <c r="B643">
        <v>0.42525603557628899</v>
      </c>
      <c r="C643">
        <v>0.50900000000000001</v>
      </c>
      <c r="D643">
        <v>9.9000000000000005E-2</v>
      </c>
      <c r="E643">
        <v>8.2143417966025298E-28</v>
      </c>
      <c r="F643">
        <v>1</v>
      </c>
      <c r="G643" t="s">
        <v>1925</v>
      </c>
      <c r="H643" t="s">
        <v>1926</v>
      </c>
      <c r="I643" t="s">
        <v>1925</v>
      </c>
      <c r="J643" s="1" t="str">
        <f>HYPERLINK("https://zfin.org/ZDB-GENE-040426-2686")</f>
        <v>https://zfin.org/ZDB-GENE-040426-2686</v>
      </c>
      <c r="K643" t="s">
        <v>1927</v>
      </c>
    </row>
    <row r="644" spans="1:11" x14ac:dyDescent="0.2">
      <c r="A644">
        <v>5.8750418060834401E-32</v>
      </c>
      <c r="B644">
        <v>0.29376365546197503</v>
      </c>
      <c r="C644">
        <v>0.27200000000000002</v>
      </c>
      <c r="D644">
        <v>2.8000000000000001E-2</v>
      </c>
      <c r="E644">
        <v>9.0963272283589794E-28</v>
      </c>
      <c r="F644">
        <v>1</v>
      </c>
      <c r="G644" t="s">
        <v>1928</v>
      </c>
      <c r="H644" t="s">
        <v>1929</v>
      </c>
      <c r="I644" t="s">
        <v>1928</v>
      </c>
      <c r="J644" s="1" t="str">
        <f>HYPERLINK("https://zfin.org/ZDB-GENE-030219-90")</f>
        <v>https://zfin.org/ZDB-GENE-030219-90</v>
      </c>
      <c r="K644" t="s">
        <v>1930</v>
      </c>
    </row>
    <row r="645" spans="1:11" x14ac:dyDescent="0.2">
      <c r="A645">
        <v>6.5793182840817903E-32</v>
      </c>
      <c r="B645">
        <v>-0.94952720239899802</v>
      </c>
      <c r="C645">
        <v>0.93899999999999995</v>
      </c>
      <c r="D645">
        <v>0.90700000000000003</v>
      </c>
      <c r="E645">
        <v>1.01867584992438E-27</v>
      </c>
      <c r="F645">
        <v>1</v>
      </c>
      <c r="G645" t="s">
        <v>1931</v>
      </c>
      <c r="H645" t="s">
        <v>1932</v>
      </c>
      <c r="I645" t="s">
        <v>1931</v>
      </c>
      <c r="J645" s="1" t="str">
        <f>HYPERLINK("https://zfin.org/ZDB-GENE-030131-4343")</f>
        <v>https://zfin.org/ZDB-GENE-030131-4343</v>
      </c>
      <c r="K645" t="s">
        <v>1933</v>
      </c>
    </row>
    <row r="646" spans="1:11" x14ac:dyDescent="0.2">
      <c r="A646">
        <v>7.2346278715090198E-32</v>
      </c>
      <c r="B646">
        <v>0.27972358793782398</v>
      </c>
      <c r="C646">
        <v>0.246</v>
      </c>
      <c r="D646">
        <v>2.1999999999999999E-2</v>
      </c>
      <c r="E646">
        <v>1.12013743334574E-27</v>
      </c>
      <c r="F646">
        <v>1</v>
      </c>
      <c r="G646" t="s">
        <v>1934</v>
      </c>
      <c r="H646" t="s">
        <v>1935</v>
      </c>
      <c r="I646" t="s">
        <v>1934</v>
      </c>
      <c r="J646" s="1" t="str">
        <f>HYPERLINK("https://zfin.org/ZDB-GENE-061215-15")</f>
        <v>https://zfin.org/ZDB-GENE-061215-15</v>
      </c>
      <c r="K646" t="s">
        <v>1936</v>
      </c>
    </row>
    <row r="647" spans="1:11" x14ac:dyDescent="0.2">
      <c r="A647">
        <v>8.3546232594761195E-32</v>
      </c>
      <c r="B647">
        <v>-0.63627256257442399</v>
      </c>
      <c r="C647">
        <v>1</v>
      </c>
      <c r="D647">
        <v>0.97799999999999998</v>
      </c>
      <c r="E647">
        <v>1.29354631926469E-27</v>
      </c>
      <c r="F647">
        <v>1</v>
      </c>
      <c r="G647" t="s">
        <v>1937</v>
      </c>
      <c r="H647" t="s">
        <v>1938</v>
      </c>
      <c r="I647" t="s">
        <v>1937</v>
      </c>
      <c r="J647" s="1" t="str">
        <f>HYPERLINK("https://zfin.org/ZDB-GENE-031018-2")</f>
        <v>https://zfin.org/ZDB-GENE-031018-2</v>
      </c>
      <c r="K647" t="s">
        <v>1939</v>
      </c>
    </row>
    <row r="648" spans="1:11" x14ac:dyDescent="0.2">
      <c r="A648">
        <v>8.9019842279661103E-32</v>
      </c>
      <c r="B648">
        <v>0.25712492992665098</v>
      </c>
      <c r="C648">
        <v>0.20200000000000001</v>
      </c>
      <c r="D648">
        <v>1.4E-2</v>
      </c>
      <c r="E648">
        <v>1.37829421801599E-27</v>
      </c>
      <c r="F648">
        <v>1</v>
      </c>
      <c r="G648" t="s">
        <v>1940</v>
      </c>
      <c r="H648" t="s">
        <v>1941</v>
      </c>
      <c r="I648" t="s">
        <v>1940</v>
      </c>
      <c r="J648" s="1" t="str">
        <f>HYPERLINK("https://zfin.org/ZDB-GENE-050913-35")</f>
        <v>https://zfin.org/ZDB-GENE-050913-35</v>
      </c>
      <c r="K648" t="s">
        <v>1942</v>
      </c>
    </row>
    <row r="649" spans="1:11" x14ac:dyDescent="0.2">
      <c r="A649">
        <v>9.2778399228133296E-32</v>
      </c>
      <c r="B649">
        <v>0.42150949857002801</v>
      </c>
      <c r="C649">
        <v>0.38600000000000001</v>
      </c>
      <c r="D649">
        <v>5.8999999999999997E-2</v>
      </c>
      <c r="E649">
        <v>1.4364879552491901E-27</v>
      </c>
      <c r="F649">
        <v>1</v>
      </c>
      <c r="G649" t="s">
        <v>1943</v>
      </c>
      <c r="H649" t="s">
        <v>1944</v>
      </c>
      <c r="I649" t="s">
        <v>1943</v>
      </c>
      <c r="J649" s="1" t="str">
        <f>HYPERLINK("https://zfin.org/ZDB-GENE-030131-3189")</f>
        <v>https://zfin.org/ZDB-GENE-030131-3189</v>
      </c>
      <c r="K649" t="s">
        <v>1945</v>
      </c>
    </row>
    <row r="650" spans="1:11" x14ac:dyDescent="0.2">
      <c r="A650">
        <v>1.2753663343753E-31</v>
      </c>
      <c r="B650">
        <v>0.62964212230493899</v>
      </c>
      <c r="C650">
        <v>0.91200000000000003</v>
      </c>
      <c r="D650">
        <v>0.30599999999999999</v>
      </c>
      <c r="E650">
        <v>1.97464969551328E-27</v>
      </c>
      <c r="F650">
        <v>1</v>
      </c>
      <c r="G650" t="s">
        <v>1946</v>
      </c>
      <c r="H650" t="s">
        <v>1947</v>
      </c>
      <c r="I650" t="s">
        <v>1946</v>
      </c>
      <c r="J650" s="1" t="str">
        <f>HYPERLINK("https://zfin.org/ZDB-GENE-040801-169")</f>
        <v>https://zfin.org/ZDB-GENE-040801-169</v>
      </c>
      <c r="K650" t="s">
        <v>1948</v>
      </c>
    </row>
    <row r="651" spans="1:11" x14ac:dyDescent="0.2">
      <c r="A651">
        <v>1.9482771292261401E-31</v>
      </c>
      <c r="B651">
        <v>0.64329886501950395</v>
      </c>
      <c r="C651">
        <v>0.84199999999999997</v>
      </c>
      <c r="D651">
        <v>0.28000000000000003</v>
      </c>
      <c r="E651">
        <v>3.01651747918084E-27</v>
      </c>
      <c r="F651">
        <v>1</v>
      </c>
      <c r="G651" t="s">
        <v>1949</v>
      </c>
      <c r="H651" t="s">
        <v>1950</v>
      </c>
      <c r="I651" t="s">
        <v>1949</v>
      </c>
      <c r="J651" s="1" t="str">
        <f>HYPERLINK("https://zfin.org/ZDB-GENE-050828-1")</f>
        <v>https://zfin.org/ZDB-GENE-050828-1</v>
      </c>
      <c r="K651" t="s">
        <v>1951</v>
      </c>
    </row>
    <row r="652" spans="1:11" x14ac:dyDescent="0.2">
      <c r="A652">
        <v>2.3553560319681599E-31</v>
      </c>
      <c r="B652">
        <v>0.27523395167380299</v>
      </c>
      <c r="C652">
        <v>0.27200000000000002</v>
      </c>
      <c r="D652">
        <v>2.8000000000000001E-2</v>
      </c>
      <c r="E652">
        <v>3.6467977442962998E-27</v>
      </c>
      <c r="F652">
        <v>1</v>
      </c>
      <c r="G652" t="s">
        <v>1952</v>
      </c>
      <c r="H652" t="s">
        <v>1953</v>
      </c>
      <c r="I652" t="s">
        <v>1952</v>
      </c>
      <c r="J652" s="1" t="str">
        <f>HYPERLINK("https://zfin.org/ZDB-GENE-040722-2")</f>
        <v>https://zfin.org/ZDB-GENE-040722-2</v>
      </c>
      <c r="K652" t="s">
        <v>1954</v>
      </c>
    </row>
    <row r="653" spans="1:11" x14ac:dyDescent="0.2">
      <c r="A653">
        <v>2.5827935399527201E-31</v>
      </c>
      <c r="B653">
        <v>0.29561713002821599</v>
      </c>
      <c r="C653">
        <v>0.316</v>
      </c>
      <c r="D653">
        <v>3.9E-2</v>
      </c>
      <c r="E653">
        <v>3.9989392379087901E-27</v>
      </c>
      <c r="F653">
        <v>1</v>
      </c>
      <c r="G653" t="s">
        <v>1955</v>
      </c>
      <c r="H653" t="s">
        <v>1956</v>
      </c>
      <c r="I653" t="s">
        <v>1955</v>
      </c>
      <c r="J653" s="1" t="str">
        <f>HYPERLINK("https://zfin.org/ZDB-GENE-030131-4971")</f>
        <v>https://zfin.org/ZDB-GENE-030131-4971</v>
      </c>
      <c r="K653" t="s">
        <v>1957</v>
      </c>
    </row>
    <row r="654" spans="1:11" x14ac:dyDescent="0.2">
      <c r="A654">
        <v>2.68161084818929E-31</v>
      </c>
      <c r="B654">
        <v>0.270675262305341</v>
      </c>
      <c r="C654">
        <v>0.23699999999999999</v>
      </c>
      <c r="D654">
        <v>2.1000000000000001E-2</v>
      </c>
      <c r="E654">
        <v>4.15193807625148E-27</v>
      </c>
      <c r="F654">
        <v>1</v>
      </c>
      <c r="G654" t="s">
        <v>1958</v>
      </c>
      <c r="H654" t="s">
        <v>1959</v>
      </c>
      <c r="I654" t="s">
        <v>1958</v>
      </c>
      <c r="J654" s="1" t="str">
        <f>HYPERLINK("https://zfin.org/ZDB-GENE-100921-86")</f>
        <v>https://zfin.org/ZDB-GENE-100921-86</v>
      </c>
      <c r="K654" t="s">
        <v>1960</v>
      </c>
    </row>
    <row r="655" spans="1:11" x14ac:dyDescent="0.2">
      <c r="A655">
        <v>2.70359721691928E-31</v>
      </c>
      <c r="B655">
        <v>0.84608574099415601</v>
      </c>
      <c r="C655">
        <v>0.61399999999999999</v>
      </c>
      <c r="D655">
        <v>0.16200000000000001</v>
      </c>
      <c r="E655">
        <v>4.1859795709561202E-27</v>
      </c>
      <c r="F655">
        <v>1</v>
      </c>
      <c r="G655" t="s">
        <v>1961</v>
      </c>
      <c r="H655" t="s">
        <v>1962</v>
      </c>
      <c r="I655" t="s">
        <v>1961</v>
      </c>
      <c r="J655" s="1" t="str">
        <f>HYPERLINK("https://zfin.org/ZDB-GENE-030131-3231")</f>
        <v>https://zfin.org/ZDB-GENE-030131-3231</v>
      </c>
      <c r="K655" t="s">
        <v>1963</v>
      </c>
    </row>
    <row r="656" spans="1:11" x14ac:dyDescent="0.2">
      <c r="A656">
        <v>2.7136404281642201E-31</v>
      </c>
      <c r="B656">
        <v>0.56751341249387899</v>
      </c>
      <c r="C656">
        <v>0.623</v>
      </c>
      <c r="D656">
        <v>0.155</v>
      </c>
      <c r="E656">
        <v>4.2015294749266599E-27</v>
      </c>
      <c r="F656">
        <v>1</v>
      </c>
      <c r="G656" t="s">
        <v>1964</v>
      </c>
      <c r="H656" t="s">
        <v>1965</v>
      </c>
      <c r="I656" t="s">
        <v>1964</v>
      </c>
      <c r="J656" s="1" t="str">
        <f>HYPERLINK("https://zfin.org/ZDB-GENE-040808-68")</f>
        <v>https://zfin.org/ZDB-GENE-040808-68</v>
      </c>
      <c r="K656" t="s">
        <v>1966</v>
      </c>
    </row>
    <row r="657" spans="1:11" x14ac:dyDescent="0.2">
      <c r="A657">
        <v>3.3572700397667998E-31</v>
      </c>
      <c r="B657">
        <v>0.329515240214936</v>
      </c>
      <c r="C657">
        <v>0.36</v>
      </c>
      <c r="D657">
        <v>5.0999999999999997E-2</v>
      </c>
      <c r="E657">
        <v>5.19806120257094E-27</v>
      </c>
      <c r="F657">
        <v>1</v>
      </c>
      <c r="G657" t="s">
        <v>1967</v>
      </c>
      <c r="H657" t="s">
        <v>1968</v>
      </c>
      <c r="I657" t="s">
        <v>1967</v>
      </c>
      <c r="J657" s="1" t="str">
        <f>HYPERLINK("https://zfin.org/ZDB-GENE-061013-612")</f>
        <v>https://zfin.org/ZDB-GENE-061013-612</v>
      </c>
      <c r="K657" t="s">
        <v>1969</v>
      </c>
    </row>
    <row r="658" spans="1:11" x14ac:dyDescent="0.2">
      <c r="A658">
        <v>3.6431242048183002E-31</v>
      </c>
      <c r="B658">
        <v>0.79810958915763897</v>
      </c>
      <c r="C658">
        <v>0.92100000000000004</v>
      </c>
      <c r="D658">
        <v>0.44400000000000001</v>
      </c>
      <c r="E658">
        <v>5.6406492063201698E-27</v>
      </c>
      <c r="F658">
        <v>1</v>
      </c>
      <c r="G658" t="s">
        <v>1970</v>
      </c>
      <c r="H658" t="s">
        <v>1971</v>
      </c>
      <c r="I658" t="s">
        <v>1970</v>
      </c>
      <c r="J658" s="1" t="str">
        <f>HYPERLINK("https://zfin.org/ZDB-GENE-040718-199")</f>
        <v>https://zfin.org/ZDB-GENE-040718-199</v>
      </c>
      <c r="K658" t="s">
        <v>1972</v>
      </c>
    </row>
    <row r="659" spans="1:11" x14ac:dyDescent="0.2">
      <c r="A659">
        <v>5.4246633247742101E-31</v>
      </c>
      <c r="B659">
        <v>0.369124923323918</v>
      </c>
      <c r="C659">
        <v>0.439</v>
      </c>
      <c r="D659">
        <v>7.4999999999999997E-2</v>
      </c>
      <c r="E659">
        <v>8.3990062257479199E-27</v>
      </c>
      <c r="F659">
        <v>1</v>
      </c>
      <c r="G659" t="s">
        <v>1973</v>
      </c>
      <c r="H659" t="s">
        <v>1974</v>
      </c>
      <c r="I659" t="s">
        <v>1973</v>
      </c>
      <c r="J659" s="1" t="str">
        <f>HYPERLINK("https://zfin.org/")</f>
        <v>https://zfin.org/</v>
      </c>
      <c r="K659" t="s">
        <v>1975</v>
      </c>
    </row>
    <row r="660" spans="1:11" x14ac:dyDescent="0.2">
      <c r="A660">
        <v>8.8245337971071006E-31</v>
      </c>
      <c r="B660">
        <v>0.41526775538258498</v>
      </c>
      <c r="C660">
        <v>0.5</v>
      </c>
      <c r="D660">
        <v>9.9000000000000005E-2</v>
      </c>
      <c r="E660">
        <v>1.3663025678060899E-26</v>
      </c>
      <c r="F660">
        <v>1</v>
      </c>
      <c r="G660" t="s">
        <v>1976</v>
      </c>
      <c r="H660" t="s">
        <v>1977</v>
      </c>
      <c r="I660" t="s">
        <v>1976</v>
      </c>
      <c r="J660" s="1" t="str">
        <f>HYPERLINK("https://zfin.org/ZDB-GENE-050227-12")</f>
        <v>https://zfin.org/ZDB-GENE-050227-12</v>
      </c>
      <c r="K660" t="s">
        <v>1978</v>
      </c>
    </row>
    <row r="661" spans="1:11" x14ac:dyDescent="0.2">
      <c r="A661">
        <v>1.10303190258784E-30</v>
      </c>
      <c r="B661">
        <v>0.35148376689917699</v>
      </c>
      <c r="C661">
        <v>0.43</v>
      </c>
      <c r="D661">
        <v>7.3999999999999996E-2</v>
      </c>
      <c r="E661">
        <v>1.7078242947767501E-26</v>
      </c>
      <c r="F661">
        <v>1</v>
      </c>
      <c r="G661" t="s">
        <v>1979</v>
      </c>
      <c r="H661" t="s">
        <v>1980</v>
      </c>
      <c r="I661" t="s">
        <v>1979</v>
      </c>
      <c r="J661" s="1" t="str">
        <f>HYPERLINK("https://zfin.org/ZDB-GENE-040426-695")</f>
        <v>https://zfin.org/ZDB-GENE-040426-695</v>
      </c>
      <c r="K661" t="s">
        <v>1981</v>
      </c>
    </row>
    <row r="662" spans="1:11" x14ac:dyDescent="0.2">
      <c r="A662">
        <v>1.24191034264143E-30</v>
      </c>
      <c r="B662">
        <v>-0.90850896221164201</v>
      </c>
      <c r="C662">
        <v>0.90400000000000003</v>
      </c>
      <c r="D662">
        <v>0.92600000000000005</v>
      </c>
      <c r="E662">
        <v>1.9228497835117301E-26</v>
      </c>
      <c r="F662">
        <v>1</v>
      </c>
      <c r="G662" t="s">
        <v>1982</v>
      </c>
      <c r="H662" t="s">
        <v>1983</v>
      </c>
      <c r="I662" t="s">
        <v>1982</v>
      </c>
      <c r="J662" s="1" t="str">
        <f>HYPERLINK("https://zfin.org/ZDB-GENE-040718-203")</f>
        <v>https://zfin.org/ZDB-GENE-040718-203</v>
      </c>
      <c r="K662" t="s">
        <v>1984</v>
      </c>
    </row>
    <row r="663" spans="1:11" x14ac:dyDescent="0.2">
      <c r="A663">
        <v>1.4034933575341401E-30</v>
      </c>
      <c r="B663">
        <v>0.99505869294701399</v>
      </c>
      <c r="C663">
        <v>0.78900000000000003</v>
      </c>
      <c r="D663">
        <v>0.317</v>
      </c>
      <c r="E663">
        <v>2.1730287654701E-26</v>
      </c>
      <c r="F663">
        <v>1</v>
      </c>
      <c r="G663" t="s">
        <v>1985</v>
      </c>
      <c r="H663" t="s">
        <v>1986</v>
      </c>
      <c r="I663" t="s">
        <v>1985</v>
      </c>
      <c r="J663" s="1" t="str">
        <f>HYPERLINK("https://zfin.org/ZDB-GENE-030127-1")</f>
        <v>https://zfin.org/ZDB-GENE-030127-1</v>
      </c>
      <c r="K663" t="s">
        <v>1987</v>
      </c>
    </row>
    <row r="664" spans="1:11" x14ac:dyDescent="0.2">
      <c r="A664">
        <v>1.4269726306563401E-30</v>
      </c>
      <c r="B664">
        <v>-0.79719401669534495</v>
      </c>
      <c r="C664">
        <v>0.99099999999999999</v>
      </c>
      <c r="D664">
        <v>0.95</v>
      </c>
      <c r="E664">
        <v>2.20938172404521E-26</v>
      </c>
      <c r="F664">
        <v>1</v>
      </c>
      <c r="G664" t="s">
        <v>1988</v>
      </c>
      <c r="H664" t="s">
        <v>1989</v>
      </c>
      <c r="I664" t="s">
        <v>1988</v>
      </c>
      <c r="J664" s="1" t="str">
        <f>HYPERLINK("https://zfin.org/ZDB-GENE-040426-1718")</f>
        <v>https://zfin.org/ZDB-GENE-040426-1718</v>
      </c>
      <c r="K664" t="s">
        <v>1990</v>
      </c>
    </row>
    <row r="665" spans="1:11" x14ac:dyDescent="0.2">
      <c r="A665">
        <v>1.8605851425517699E-30</v>
      </c>
      <c r="B665">
        <v>0.38216727927663202</v>
      </c>
      <c r="C665">
        <v>0.439</v>
      </c>
      <c r="D665">
        <v>7.6999999999999999E-2</v>
      </c>
      <c r="E665">
        <v>2.8807439762129002E-26</v>
      </c>
      <c r="F665">
        <v>1</v>
      </c>
      <c r="G665" t="s">
        <v>1991</v>
      </c>
      <c r="H665" t="s">
        <v>1992</v>
      </c>
      <c r="I665" t="s">
        <v>1991</v>
      </c>
      <c r="J665" s="1" t="str">
        <f>HYPERLINK("https://zfin.org/ZDB-GENE-050522-135")</f>
        <v>https://zfin.org/ZDB-GENE-050522-135</v>
      </c>
      <c r="K665" t="s">
        <v>1993</v>
      </c>
    </row>
    <row r="666" spans="1:11" x14ac:dyDescent="0.2">
      <c r="A666">
        <v>1.9087049106605999E-30</v>
      </c>
      <c r="B666">
        <v>-0.74191896369279897</v>
      </c>
      <c r="C666">
        <v>1</v>
      </c>
      <c r="D666">
        <v>0.95199999999999996</v>
      </c>
      <c r="E666">
        <v>2.95524781317581E-26</v>
      </c>
      <c r="F666">
        <v>1</v>
      </c>
      <c r="G666" t="s">
        <v>1994</v>
      </c>
      <c r="H666" t="s">
        <v>1995</v>
      </c>
      <c r="I666" t="s">
        <v>1994</v>
      </c>
      <c r="J666" s="1" t="str">
        <f>HYPERLINK("https://zfin.org/ZDB-GENE-040426-1071")</f>
        <v>https://zfin.org/ZDB-GENE-040426-1071</v>
      </c>
      <c r="K666" t="s">
        <v>1996</v>
      </c>
    </row>
    <row r="667" spans="1:11" x14ac:dyDescent="0.2">
      <c r="A667">
        <v>2.2166910731116001E-30</v>
      </c>
      <c r="B667">
        <v>0.353692799405249</v>
      </c>
      <c r="C667">
        <v>0.254</v>
      </c>
      <c r="D667">
        <v>2.5999999999999999E-2</v>
      </c>
      <c r="E667">
        <v>3.43210278849869E-26</v>
      </c>
      <c r="F667">
        <v>1</v>
      </c>
      <c r="G667" t="s">
        <v>1997</v>
      </c>
      <c r="H667" t="s">
        <v>1998</v>
      </c>
      <c r="I667" t="s">
        <v>1997</v>
      </c>
      <c r="J667" s="1" t="str">
        <f>HYPERLINK("https://zfin.org/ZDB-GENE-041210-9")</f>
        <v>https://zfin.org/ZDB-GENE-041210-9</v>
      </c>
      <c r="K667" t="s">
        <v>1999</v>
      </c>
    </row>
    <row r="668" spans="1:11" x14ac:dyDescent="0.2">
      <c r="A668">
        <v>2.5697430824717399E-30</v>
      </c>
      <c r="B668">
        <v>-1.2054300049723199</v>
      </c>
      <c r="C668">
        <v>0.77200000000000002</v>
      </c>
      <c r="D668">
        <v>0.83899999999999997</v>
      </c>
      <c r="E668">
        <v>3.9787332145910001E-26</v>
      </c>
      <c r="F668">
        <v>1</v>
      </c>
      <c r="G668" t="s">
        <v>2000</v>
      </c>
      <c r="H668" t="s">
        <v>2001</v>
      </c>
      <c r="I668" t="s">
        <v>2000</v>
      </c>
      <c r="J668" s="1" t="str">
        <f>HYPERLINK("https://zfin.org/ZDB-GENE-040426-1955")</f>
        <v>https://zfin.org/ZDB-GENE-040426-1955</v>
      </c>
      <c r="K668" t="s">
        <v>2002</v>
      </c>
    </row>
    <row r="669" spans="1:11" x14ac:dyDescent="0.2">
      <c r="A669">
        <v>2.7189445823993301E-30</v>
      </c>
      <c r="B669">
        <v>0.353683905488685</v>
      </c>
      <c r="C669">
        <v>0.36</v>
      </c>
      <c r="D669">
        <v>5.3999999999999999E-2</v>
      </c>
      <c r="E669">
        <v>4.2097418969288798E-26</v>
      </c>
      <c r="F669">
        <v>1</v>
      </c>
      <c r="G669" t="s">
        <v>2003</v>
      </c>
      <c r="H669" t="s">
        <v>2004</v>
      </c>
      <c r="I669" t="s">
        <v>2003</v>
      </c>
      <c r="J669" s="1" t="str">
        <f>HYPERLINK("https://zfin.org/ZDB-GENE-031118-91")</f>
        <v>https://zfin.org/ZDB-GENE-031118-91</v>
      </c>
      <c r="K669" t="s">
        <v>2005</v>
      </c>
    </row>
    <row r="670" spans="1:11" x14ac:dyDescent="0.2">
      <c r="A670">
        <v>3.4680407404440303E-30</v>
      </c>
      <c r="B670">
        <v>0.378790769102608</v>
      </c>
      <c r="C670">
        <v>0.14000000000000001</v>
      </c>
      <c r="D670">
        <v>5.0000000000000001E-3</v>
      </c>
      <c r="E670">
        <v>5.36956747842949E-26</v>
      </c>
      <c r="F670">
        <v>1</v>
      </c>
      <c r="G670" t="s">
        <v>2006</v>
      </c>
      <c r="H670" t="s">
        <v>2007</v>
      </c>
      <c r="I670" t="s">
        <v>2006</v>
      </c>
      <c r="J670" s="1" t="str">
        <f>HYPERLINK("https://zfin.org/ZDB-GENE-030131-6619")</f>
        <v>https://zfin.org/ZDB-GENE-030131-6619</v>
      </c>
      <c r="K670" t="s">
        <v>2008</v>
      </c>
    </row>
    <row r="671" spans="1:11" x14ac:dyDescent="0.2">
      <c r="A671">
        <v>3.7086480641879099E-30</v>
      </c>
      <c r="B671">
        <v>-1.52991100486492</v>
      </c>
      <c r="C671">
        <v>0.29799999999999999</v>
      </c>
      <c r="D671">
        <v>0.74199999999999999</v>
      </c>
      <c r="E671">
        <v>5.7420997977821403E-26</v>
      </c>
      <c r="F671">
        <v>1</v>
      </c>
      <c r="G671" t="s">
        <v>2009</v>
      </c>
      <c r="H671" t="s">
        <v>2010</v>
      </c>
      <c r="I671" t="s">
        <v>2009</v>
      </c>
      <c r="J671" s="1" t="str">
        <f>HYPERLINK("https://zfin.org/ZDB-GENE-120215-258")</f>
        <v>https://zfin.org/ZDB-GENE-120215-258</v>
      </c>
      <c r="K671" t="s">
        <v>2011</v>
      </c>
    </row>
    <row r="672" spans="1:11" x14ac:dyDescent="0.2">
      <c r="A672">
        <v>4.17593710964844E-30</v>
      </c>
      <c r="B672">
        <v>0.36111298579457901</v>
      </c>
      <c r="C672">
        <v>0.5</v>
      </c>
      <c r="D672">
        <v>9.8000000000000004E-2</v>
      </c>
      <c r="E672">
        <v>6.4656034268686805E-26</v>
      </c>
      <c r="F672">
        <v>1</v>
      </c>
      <c r="G672" t="s">
        <v>2012</v>
      </c>
      <c r="H672" t="s">
        <v>2013</v>
      </c>
      <c r="I672" t="s">
        <v>2012</v>
      </c>
      <c r="J672" s="1" t="str">
        <f>HYPERLINK("https://zfin.org/ZDB-GENE-111013-4")</f>
        <v>https://zfin.org/ZDB-GENE-111013-4</v>
      </c>
      <c r="K672" t="s">
        <v>2014</v>
      </c>
    </row>
    <row r="673" spans="1:11" x14ac:dyDescent="0.2">
      <c r="A673">
        <v>4.62319508283339E-30</v>
      </c>
      <c r="B673">
        <v>0.31407448823475498</v>
      </c>
      <c r="C673">
        <v>0.29799999999999999</v>
      </c>
      <c r="D673">
        <v>3.6999999999999998E-2</v>
      </c>
      <c r="E673">
        <v>7.1580929467509405E-26</v>
      </c>
      <c r="F673">
        <v>1</v>
      </c>
      <c r="G673" t="s">
        <v>2015</v>
      </c>
      <c r="H673" t="s">
        <v>2016</v>
      </c>
      <c r="I673" t="s">
        <v>2015</v>
      </c>
      <c r="J673" s="1" t="str">
        <f>HYPERLINK("https://zfin.org/ZDB-GENE-041212-41")</f>
        <v>https://zfin.org/ZDB-GENE-041212-41</v>
      </c>
      <c r="K673" t="s">
        <v>2017</v>
      </c>
    </row>
    <row r="674" spans="1:11" x14ac:dyDescent="0.2">
      <c r="A674">
        <v>5.3525625819878198E-30</v>
      </c>
      <c r="B674">
        <v>-1.8685987582863799</v>
      </c>
      <c r="C674">
        <v>0.47399999999999998</v>
      </c>
      <c r="D674">
        <v>0.78500000000000003</v>
      </c>
      <c r="E674">
        <v>8.2873726456917405E-26</v>
      </c>
      <c r="F674">
        <v>1</v>
      </c>
      <c r="G674" t="s">
        <v>2018</v>
      </c>
      <c r="H674" t="s">
        <v>2019</v>
      </c>
      <c r="I674" t="s">
        <v>2018</v>
      </c>
      <c r="J674" s="1" t="str">
        <f>HYPERLINK("https://zfin.org/ZDB-GENE-101011-2")</f>
        <v>https://zfin.org/ZDB-GENE-101011-2</v>
      </c>
      <c r="K674" t="s">
        <v>2020</v>
      </c>
    </row>
    <row r="675" spans="1:11" x14ac:dyDescent="0.2">
      <c r="A675">
        <v>8.2210065778162598E-30</v>
      </c>
      <c r="B675">
        <v>0.64215133542270497</v>
      </c>
      <c r="C675">
        <v>1</v>
      </c>
      <c r="D675">
        <v>0.83399999999999996</v>
      </c>
      <c r="E675">
        <v>1.2728584484432899E-25</v>
      </c>
      <c r="F675">
        <v>1</v>
      </c>
      <c r="G675" t="s">
        <v>2021</v>
      </c>
      <c r="H675" t="s">
        <v>2022</v>
      </c>
      <c r="I675" t="s">
        <v>2021</v>
      </c>
      <c r="J675" s="1" t="str">
        <f>HYPERLINK("https://zfin.org/ZDB-GENE-030131-8062")</f>
        <v>https://zfin.org/ZDB-GENE-030131-8062</v>
      </c>
      <c r="K675" t="s">
        <v>2023</v>
      </c>
    </row>
    <row r="676" spans="1:11" x14ac:dyDescent="0.2">
      <c r="A676">
        <v>9.5143850915239902E-30</v>
      </c>
      <c r="B676">
        <v>-0.86484493311457999</v>
      </c>
      <c r="C676">
        <v>0.93899999999999995</v>
      </c>
      <c r="D676">
        <v>0.91200000000000003</v>
      </c>
      <c r="E676">
        <v>1.47311224372066E-25</v>
      </c>
      <c r="F676">
        <v>1</v>
      </c>
      <c r="G676" t="s">
        <v>2024</v>
      </c>
      <c r="H676" t="s">
        <v>2025</v>
      </c>
      <c r="I676" t="s">
        <v>2024</v>
      </c>
      <c r="J676" s="1" t="str">
        <f>HYPERLINK("https://zfin.org/ZDB-GENE-990415-89")</f>
        <v>https://zfin.org/ZDB-GENE-990415-89</v>
      </c>
      <c r="K676" t="s">
        <v>2026</v>
      </c>
    </row>
    <row r="677" spans="1:11" x14ac:dyDescent="0.2">
      <c r="A677">
        <v>1.05572903560776E-29</v>
      </c>
      <c r="B677">
        <v>-1.3204287236041501</v>
      </c>
      <c r="C677">
        <v>0.79800000000000004</v>
      </c>
      <c r="D677">
        <v>0.88600000000000001</v>
      </c>
      <c r="E677">
        <v>1.6345852658314899E-25</v>
      </c>
      <c r="F677">
        <v>1</v>
      </c>
      <c r="G677" t="s">
        <v>2027</v>
      </c>
      <c r="H677" t="s">
        <v>2028</v>
      </c>
      <c r="I677" t="s">
        <v>2027</v>
      </c>
      <c r="J677" s="1" t="str">
        <f>HYPERLINK("https://zfin.org/ZDB-GENE-000210-15")</f>
        <v>https://zfin.org/ZDB-GENE-000210-15</v>
      </c>
      <c r="K677" t="s">
        <v>2029</v>
      </c>
    </row>
    <row r="678" spans="1:11" x14ac:dyDescent="0.2">
      <c r="A678">
        <v>1.10309181397835E-29</v>
      </c>
      <c r="B678">
        <v>0.42546326458863598</v>
      </c>
      <c r="C678">
        <v>0.68400000000000005</v>
      </c>
      <c r="D678">
        <v>0.17599999999999999</v>
      </c>
      <c r="E678">
        <v>1.70791705558268E-25</v>
      </c>
      <c r="F678">
        <v>1</v>
      </c>
      <c r="G678" t="s">
        <v>2030</v>
      </c>
      <c r="H678" t="s">
        <v>2031</v>
      </c>
      <c r="I678" t="s">
        <v>2030</v>
      </c>
      <c r="J678" s="1" t="str">
        <f>HYPERLINK("https://zfin.org/ZDB-GENE-040319-2")</f>
        <v>https://zfin.org/ZDB-GENE-040319-2</v>
      </c>
      <c r="K678" t="s">
        <v>2032</v>
      </c>
    </row>
    <row r="679" spans="1:11" x14ac:dyDescent="0.2">
      <c r="A679">
        <v>1.11876019717704E-29</v>
      </c>
      <c r="B679">
        <v>-0.79903939969062598</v>
      </c>
      <c r="C679">
        <v>0.98199999999999998</v>
      </c>
      <c r="D679">
        <v>0.94</v>
      </c>
      <c r="E679">
        <v>1.7321764132892E-25</v>
      </c>
      <c r="F679">
        <v>1</v>
      </c>
      <c r="G679" t="s">
        <v>2033</v>
      </c>
      <c r="H679" t="s">
        <v>2034</v>
      </c>
      <c r="I679" t="s">
        <v>2033</v>
      </c>
      <c r="J679" s="1" t="str">
        <f>HYPERLINK("https://zfin.org/ZDB-GENE-040801-8")</f>
        <v>https://zfin.org/ZDB-GENE-040801-8</v>
      </c>
      <c r="K679" t="s">
        <v>2035</v>
      </c>
    </row>
    <row r="680" spans="1:11" x14ac:dyDescent="0.2">
      <c r="A680">
        <v>1.15785847460258E-29</v>
      </c>
      <c r="B680">
        <v>-0.75039146345045205</v>
      </c>
      <c r="C680">
        <v>0.98199999999999998</v>
      </c>
      <c r="D680">
        <v>0.94699999999999995</v>
      </c>
      <c r="E680">
        <v>1.79271227622718E-25</v>
      </c>
      <c r="F680">
        <v>1</v>
      </c>
      <c r="G680" t="s">
        <v>2036</v>
      </c>
      <c r="H680" t="s">
        <v>2037</v>
      </c>
      <c r="I680" t="s">
        <v>2036</v>
      </c>
      <c r="J680" s="1" t="str">
        <f>HYPERLINK("https://zfin.org/ZDB-GENE-030131-9092")</f>
        <v>https://zfin.org/ZDB-GENE-030131-9092</v>
      </c>
      <c r="K680" t="s">
        <v>2038</v>
      </c>
    </row>
    <row r="681" spans="1:11" x14ac:dyDescent="0.2">
      <c r="A681">
        <v>1.3438214530386699E-29</v>
      </c>
      <c r="B681">
        <v>0.255352589198312</v>
      </c>
      <c r="C681">
        <v>0.246</v>
      </c>
      <c r="D681">
        <v>2.4E-2</v>
      </c>
      <c r="E681">
        <v>2.0806387557397802E-25</v>
      </c>
      <c r="F681">
        <v>1</v>
      </c>
      <c r="G681" t="s">
        <v>2039</v>
      </c>
      <c r="H681" t="s">
        <v>2040</v>
      </c>
      <c r="I681" t="s">
        <v>2039</v>
      </c>
      <c r="J681" s="1" t="str">
        <f>HYPERLINK("https://zfin.org/ZDB-GENE-030131-6135")</f>
        <v>https://zfin.org/ZDB-GENE-030131-6135</v>
      </c>
      <c r="K681" t="s">
        <v>2041</v>
      </c>
    </row>
    <row r="682" spans="1:11" x14ac:dyDescent="0.2">
      <c r="A682">
        <v>1.5410603247006301E-29</v>
      </c>
      <c r="B682">
        <v>0.39540354896919699</v>
      </c>
      <c r="C682">
        <v>0.439</v>
      </c>
      <c r="D682">
        <v>0.08</v>
      </c>
      <c r="E682">
        <v>2.38602370073399E-25</v>
      </c>
      <c r="F682">
        <v>1</v>
      </c>
      <c r="G682" t="s">
        <v>2042</v>
      </c>
      <c r="H682" t="s">
        <v>2043</v>
      </c>
      <c r="I682" t="s">
        <v>2042</v>
      </c>
      <c r="J682" s="1" t="str">
        <f>HYPERLINK("https://zfin.org/ZDB-GENE-050522-381")</f>
        <v>https://zfin.org/ZDB-GENE-050522-381</v>
      </c>
      <c r="K682" t="s">
        <v>2044</v>
      </c>
    </row>
    <row r="683" spans="1:11" x14ac:dyDescent="0.2">
      <c r="A683">
        <v>1.7652417634698099E-29</v>
      </c>
      <c r="B683">
        <v>-0.96482634059580796</v>
      </c>
      <c r="C683">
        <v>0.84199999999999997</v>
      </c>
      <c r="D683">
        <v>0.879</v>
      </c>
      <c r="E683">
        <v>2.7331238223803101E-25</v>
      </c>
      <c r="F683">
        <v>1</v>
      </c>
      <c r="G683" t="s">
        <v>2045</v>
      </c>
      <c r="H683" t="s">
        <v>2046</v>
      </c>
      <c r="I683" t="s">
        <v>2045</v>
      </c>
      <c r="J683" s="1" t="str">
        <f>HYPERLINK("https://zfin.org/ZDB-GENE-040426-1788")</f>
        <v>https://zfin.org/ZDB-GENE-040426-1788</v>
      </c>
      <c r="K683" t="s">
        <v>2047</v>
      </c>
    </row>
    <row r="684" spans="1:11" x14ac:dyDescent="0.2">
      <c r="A684">
        <v>2.30768871604149E-29</v>
      </c>
      <c r="B684">
        <v>0.26789349934373902</v>
      </c>
      <c r="C684">
        <v>0.158</v>
      </c>
      <c r="D684">
        <v>8.0000000000000002E-3</v>
      </c>
      <c r="E684">
        <v>3.5729944390470302E-25</v>
      </c>
      <c r="F684">
        <v>1</v>
      </c>
      <c r="G684" t="s">
        <v>2048</v>
      </c>
      <c r="H684" t="s">
        <v>2049</v>
      </c>
      <c r="I684" t="s">
        <v>2048</v>
      </c>
      <c r="J684" s="1" t="str">
        <f>HYPERLINK("https://zfin.org/ZDB-GENE-060526-209")</f>
        <v>https://zfin.org/ZDB-GENE-060526-209</v>
      </c>
      <c r="K684" t="s">
        <v>2050</v>
      </c>
    </row>
    <row r="685" spans="1:11" x14ac:dyDescent="0.2">
      <c r="A685">
        <v>2.4093411510373101E-29</v>
      </c>
      <c r="B685">
        <v>0.26794012115677102</v>
      </c>
      <c r="C685">
        <v>0.21099999999999999</v>
      </c>
      <c r="D685">
        <v>1.7000000000000001E-2</v>
      </c>
      <c r="E685">
        <v>3.7303829041510701E-25</v>
      </c>
      <c r="F685">
        <v>1</v>
      </c>
      <c r="G685" t="s">
        <v>2051</v>
      </c>
      <c r="H685" t="s">
        <v>2052</v>
      </c>
      <c r="I685" t="s">
        <v>2051</v>
      </c>
      <c r="J685" s="1" t="str">
        <f>HYPERLINK("https://zfin.org/ZDB-GENE-110331-1")</f>
        <v>https://zfin.org/ZDB-GENE-110331-1</v>
      </c>
      <c r="K685" t="s">
        <v>2053</v>
      </c>
    </row>
    <row r="686" spans="1:11" x14ac:dyDescent="0.2">
      <c r="A686">
        <v>2.4224868298101201E-29</v>
      </c>
      <c r="B686">
        <v>0.41521040789304298</v>
      </c>
      <c r="C686">
        <v>0.316</v>
      </c>
      <c r="D686">
        <v>4.2999999999999997E-2</v>
      </c>
      <c r="E686">
        <v>3.7507363585950102E-25</v>
      </c>
      <c r="F686">
        <v>1</v>
      </c>
      <c r="G686" t="s">
        <v>2054</v>
      </c>
      <c r="H686" t="s">
        <v>2055</v>
      </c>
      <c r="I686" t="s">
        <v>2054</v>
      </c>
      <c r="J686" s="1" t="str">
        <f>HYPERLINK("https://zfin.org/ZDB-GENE-040426-2907")</f>
        <v>https://zfin.org/ZDB-GENE-040426-2907</v>
      </c>
      <c r="K686" t="s">
        <v>2056</v>
      </c>
    </row>
    <row r="687" spans="1:11" x14ac:dyDescent="0.2">
      <c r="A687">
        <v>2.6544743823041398E-29</v>
      </c>
      <c r="B687">
        <v>-1.96255205707209</v>
      </c>
      <c r="C687">
        <v>0.377</v>
      </c>
      <c r="D687">
        <v>0.751</v>
      </c>
      <c r="E687">
        <v>4.1099226861215001E-25</v>
      </c>
      <c r="F687">
        <v>1</v>
      </c>
      <c r="G687" t="s">
        <v>2057</v>
      </c>
      <c r="H687" t="s">
        <v>2058</v>
      </c>
      <c r="I687" t="s">
        <v>2057</v>
      </c>
      <c r="J687" s="1" t="str">
        <f>HYPERLINK("https://zfin.org/ZDB-GENE-041121-18")</f>
        <v>https://zfin.org/ZDB-GENE-041121-18</v>
      </c>
      <c r="K687" t="s">
        <v>2059</v>
      </c>
    </row>
    <row r="688" spans="1:11" x14ac:dyDescent="0.2">
      <c r="A688">
        <v>3.23590542683343E-29</v>
      </c>
      <c r="B688">
        <v>-1.2180003880088399</v>
      </c>
      <c r="C688">
        <v>0.64900000000000002</v>
      </c>
      <c r="D688">
        <v>0.80700000000000005</v>
      </c>
      <c r="E688">
        <v>5.0101523723662001E-25</v>
      </c>
      <c r="F688">
        <v>1</v>
      </c>
      <c r="G688" t="s">
        <v>2060</v>
      </c>
      <c r="H688" t="s">
        <v>2061</v>
      </c>
      <c r="I688" t="s">
        <v>2060</v>
      </c>
      <c r="J688" s="1" t="str">
        <f>HYPERLINK("https://zfin.org/ZDB-GENE-040625-93")</f>
        <v>https://zfin.org/ZDB-GENE-040625-93</v>
      </c>
      <c r="K688" t="s">
        <v>2062</v>
      </c>
    </row>
    <row r="689" spans="1:11" x14ac:dyDescent="0.2">
      <c r="A689">
        <v>4.1735267506194702E-29</v>
      </c>
      <c r="B689">
        <v>0.71916007349132305</v>
      </c>
      <c r="C689">
        <v>0.96499999999999997</v>
      </c>
      <c r="D689">
        <v>0.52200000000000002</v>
      </c>
      <c r="E689">
        <v>6.4618714679841201E-25</v>
      </c>
      <c r="F689">
        <v>1</v>
      </c>
      <c r="G689" t="s">
        <v>2063</v>
      </c>
      <c r="H689" t="s">
        <v>2064</v>
      </c>
      <c r="I689" t="s">
        <v>2063</v>
      </c>
      <c r="J689" s="1" t="str">
        <f>HYPERLINK("https://zfin.org/ZDB-GENE-030131-9136")</f>
        <v>https://zfin.org/ZDB-GENE-030131-9136</v>
      </c>
      <c r="K689" t="s">
        <v>2065</v>
      </c>
    </row>
    <row r="690" spans="1:11" x14ac:dyDescent="0.2">
      <c r="A690">
        <v>4.4012899775748E-29</v>
      </c>
      <c r="B690">
        <v>0.661188904780178</v>
      </c>
      <c r="C690">
        <v>0.60499999999999998</v>
      </c>
      <c r="D690">
        <v>0.15</v>
      </c>
      <c r="E690">
        <v>6.8145172722790604E-25</v>
      </c>
      <c r="F690">
        <v>1</v>
      </c>
      <c r="G690" t="s">
        <v>2066</v>
      </c>
      <c r="H690" t="s">
        <v>2067</v>
      </c>
      <c r="I690" t="s">
        <v>2066</v>
      </c>
      <c r="J690" s="1" t="str">
        <f>HYPERLINK("https://zfin.org/ZDB-GENE-990415-17")</f>
        <v>https://zfin.org/ZDB-GENE-990415-17</v>
      </c>
      <c r="K690" t="s">
        <v>2068</v>
      </c>
    </row>
    <row r="691" spans="1:11" x14ac:dyDescent="0.2">
      <c r="A691">
        <v>5.7189148021359401E-29</v>
      </c>
      <c r="B691">
        <v>-1.99130329968445</v>
      </c>
      <c r="C691">
        <v>0.67500000000000004</v>
      </c>
      <c r="D691">
        <v>0.83</v>
      </c>
      <c r="E691">
        <v>8.8545957881470808E-25</v>
      </c>
      <c r="F691">
        <v>1</v>
      </c>
      <c r="G691" t="s">
        <v>2069</v>
      </c>
      <c r="H691" t="s">
        <v>2070</v>
      </c>
      <c r="I691" t="s">
        <v>2069</v>
      </c>
      <c r="J691" s="1" t="str">
        <f>HYPERLINK("https://zfin.org/ZDB-GENE-030131-12")</f>
        <v>https://zfin.org/ZDB-GENE-030131-12</v>
      </c>
      <c r="K691" t="s">
        <v>2071</v>
      </c>
    </row>
    <row r="692" spans="1:11" x14ac:dyDescent="0.2">
      <c r="A692">
        <v>8.3648776325311399E-29</v>
      </c>
      <c r="B692">
        <v>-1.60539871680295</v>
      </c>
      <c r="C692">
        <v>0.76300000000000001</v>
      </c>
      <c r="D692">
        <v>0.85699999999999998</v>
      </c>
      <c r="E692">
        <v>1.2951340038448E-24</v>
      </c>
      <c r="F692">
        <v>1</v>
      </c>
      <c r="G692" t="s">
        <v>2072</v>
      </c>
      <c r="H692" t="s">
        <v>2073</v>
      </c>
      <c r="I692" t="s">
        <v>2072</v>
      </c>
      <c r="J692" s="1" t="str">
        <f>HYPERLINK("https://zfin.org/ZDB-GENE-030131-8599")</f>
        <v>https://zfin.org/ZDB-GENE-030131-8599</v>
      </c>
      <c r="K692" t="s">
        <v>2074</v>
      </c>
    </row>
    <row r="693" spans="1:11" x14ac:dyDescent="0.2">
      <c r="A693">
        <v>9.8073786655010495E-29</v>
      </c>
      <c r="B693">
        <v>-0.75705045711842001</v>
      </c>
      <c r="C693">
        <v>0.99099999999999999</v>
      </c>
      <c r="D693">
        <v>0.93899999999999995</v>
      </c>
      <c r="E693">
        <v>1.5184764387795301E-24</v>
      </c>
      <c r="F693">
        <v>1</v>
      </c>
      <c r="G693" t="s">
        <v>2075</v>
      </c>
      <c r="H693" t="s">
        <v>2076</v>
      </c>
      <c r="I693" t="s">
        <v>2075</v>
      </c>
      <c r="J693" s="1" t="str">
        <f>HYPERLINK("https://zfin.org/ZDB-GENE-040801-183")</f>
        <v>https://zfin.org/ZDB-GENE-040801-183</v>
      </c>
      <c r="K693" t="s">
        <v>2077</v>
      </c>
    </row>
    <row r="694" spans="1:11" x14ac:dyDescent="0.2">
      <c r="A694">
        <v>1.0600307680209301E-28</v>
      </c>
      <c r="B694">
        <v>0.402636234496418</v>
      </c>
      <c r="C694">
        <v>0.50900000000000001</v>
      </c>
      <c r="D694">
        <v>0.106</v>
      </c>
      <c r="E694">
        <v>1.64124563812681E-24</v>
      </c>
      <c r="F694">
        <v>1</v>
      </c>
      <c r="G694" t="s">
        <v>2078</v>
      </c>
      <c r="H694" t="s">
        <v>2079</v>
      </c>
      <c r="I694" t="s">
        <v>2078</v>
      </c>
      <c r="J694" s="1" t="str">
        <f>HYPERLINK("https://zfin.org/ZDB-GENE-040718-259")</f>
        <v>https://zfin.org/ZDB-GENE-040718-259</v>
      </c>
      <c r="K694" t="s">
        <v>2080</v>
      </c>
    </row>
    <row r="695" spans="1:11" x14ac:dyDescent="0.2">
      <c r="A695">
        <v>1.5540796330682501E-28</v>
      </c>
      <c r="B695">
        <v>0.40631953925960002</v>
      </c>
      <c r="C695">
        <v>0.43</v>
      </c>
      <c r="D695">
        <v>8.2000000000000003E-2</v>
      </c>
      <c r="E695">
        <v>2.4061814958795699E-24</v>
      </c>
      <c r="F695">
        <v>1</v>
      </c>
      <c r="G695" t="s">
        <v>2081</v>
      </c>
      <c r="H695" t="s">
        <v>2082</v>
      </c>
      <c r="I695" t="s">
        <v>2081</v>
      </c>
      <c r="J695" s="1" t="str">
        <f>HYPERLINK("https://zfin.org/ZDB-GENE-030424-2")</f>
        <v>https://zfin.org/ZDB-GENE-030424-2</v>
      </c>
      <c r="K695" t="s">
        <v>2083</v>
      </c>
    </row>
    <row r="696" spans="1:11" x14ac:dyDescent="0.2">
      <c r="A696">
        <v>1.8362367863881001E-28</v>
      </c>
      <c r="B696">
        <v>0.51424995810570995</v>
      </c>
      <c r="C696">
        <v>0.42099999999999999</v>
      </c>
      <c r="D696">
        <v>0.08</v>
      </c>
      <c r="E696">
        <v>2.8430454163646901E-24</v>
      </c>
      <c r="F696">
        <v>1</v>
      </c>
      <c r="G696" t="s">
        <v>2084</v>
      </c>
      <c r="H696" t="s">
        <v>2085</v>
      </c>
      <c r="I696" t="s">
        <v>2084</v>
      </c>
      <c r="J696" s="1" t="str">
        <f>HYPERLINK("https://zfin.org/ZDB-GENE-061013-189")</f>
        <v>https://zfin.org/ZDB-GENE-061013-189</v>
      </c>
      <c r="K696" t="s">
        <v>2086</v>
      </c>
    </row>
    <row r="697" spans="1:11" x14ac:dyDescent="0.2">
      <c r="A697">
        <v>2.1812084321305002E-28</v>
      </c>
      <c r="B697">
        <v>0.59430141896216204</v>
      </c>
      <c r="C697">
        <v>0.76300000000000001</v>
      </c>
      <c r="D697">
        <v>0.24399999999999999</v>
      </c>
      <c r="E697">
        <v>3.3771650154676597E-24</v>
      </c>
      <c r="F697">
        <v>1</v>
      </c>
      <c r="G697" t="s">
        <v>2087</v>
      </c>
      <c r="H697" t="s">
        <v>2088</v>
      </c>
      <c r="I697" t="s">
        <v>2087</v>
      </c>
      <c r="J697" s="1" t="str">
        <f>HYPERLINK("https://zfin.org/ZDB-GENE-011010-1")</f>
        <v>https://zfin.org/ZDB-GENE-011010-1</v>
      </c>
      <c r="K697" t="s">
        <v>2089</v>
      </c>
    </row>
    <row r="698" spans="1:11" x14ac:dyDescent="0.2">
      <c r="A698">
        <v>2.3081298368630001E-28</v>
      </c>
      <c r="B698">
        <v>0.83365819466427604</v>
      </c>
      <c r="C698">
        <v>0.93899999999999995</v>
      </c>
      <c r="D698">
        <v>0.51</v>
      </c>
      <c r="E698">
        <v>3.5736774264149902E-24</v>
      </c>
      <c r="F698">
        <v>1</v>
      </c>
      <c r="G698" t="s">
        <v>2090</v>
      </c>
      <c r="H698" t="s">
        <v>2091</v>
      </c>
      <c r="I698" t="s">
        <v>2090</v>
      </c>
      <c r="J698" s="1" t="str">
        <f>HYPERLINK("https://zfin.org/ZDB-GENE-030131-8541")</f>
        <v>https://zfin.org/ZDB-GENE-030131-8541</v>
      </c>
      <c r="K698" t="s">
        <v>2092</v>
      </c>
    </row>
    <row r="699" spans="1:11" x14ac:dyDescent="0.2">
      <c r="A699">
        <v>2.7122579630292502E-28</v>
      </c>
      <c r="B699">
        <v>0.25471322487461001</v>
      </c>
      <c r="C699">
        <v>0.219</v>
      </c>
      <c r="D699">
        <v>0.02</v>
      </c>
      <c r="E699">
        <v>4.1993890041581897E-24</v>
      </c>
      <c r="F699">
        <v>1</v>
      </c>
      <c r="G699" t="s">
        <v>2093</v>
      </c>
      <c r="H699" t="s">
        <v>2094</v>
      </c>
      <c r="I699" t="s">
        <v>2093</v>
      </c>
      <c r="J699" s="1" t="str">
        <f>HYPERLINK("https://zfin.org/ZDB-GENE-120215-114")</f>
        <v>https://zfin.org/ZDB-GENE-120215-114</v>
      </c>
      <c r="K699" t="s">
        <v>2095</v>
      </c>
    </row>
    <row r="700" spans="1:11" x14ac:dyDescent="0.2">
      <c r="A700">
        <v>3.5213064720791799E-28</v>
      </c>
      <c r="B700">
        <v>0.35041538240538</v>
      </c>
      <c r="C700">
        <v>0.36799999999999999</v>
      </c>
      <c r="D700">
        <v>0.06</v>
      </c>
      <c r="E700">
        <v>5.4520388107201903E-24</v>
      </c>
      <c r="F700">
        <v>1</v>
      </c>
      <c r="G700" t="s">
        <v>2096</v>
      </c>
      <c r="H700" t="s">
        <v>2097</v>
      </c>
      <c r="I700" t="s">
        <v>2096</v>
      </c>
      <c r="J700" s="1" t="str">
        <f>HYPERLINK("https://zfin.org/ZDB-GENE-040426-825")</f>
        <v>https://zfin.org/ZDB-GENE-040426-825</v>
      </c>
      <c r="K700" t="s">
        <v>2098</v>
      </c>
    </row>
    <row r="701" spans="1:11" x14ac:dyDescent="0.2">
      <c r="A701">
        <v>3.5843646921768602E-28</v>
      </c>
      <c r="B701">
        <v>-0.73909058451742105</v>
      </c>
      <c r="C701">
        <v>0.95599999999999996</v>
      </c>
      <c r="D701">
        <v>0.93200000000000005</v>
      </c>
      <c r="E701">
        <v>5.5496718528974397E-24</v>
      </c>
      <c r="F701">
        <v>1</v>
      </c>
      <c r="G701" t="s">
        <v>2099</v>
      </c>
      <c r="H701" t="s">
        <v>2100</v>
      </c>
      <c r="I701" t="s">
        <v>2099</v>
      </c>
      <c r="J701" s="1" t="str">
        <f>HYPERLINK("https://zfin.org/ZDB-GENE-030131-8656")</f>
        <v>https://zfin.org/ZDB-GENE-030131-8656</v>
      </c>
      <c r="K701" t="s">
        <v>2101</v>
      </c>
    </row>
    <row r="702" spans="1:11" x14ac:dyDescent="0.2">
      <c r="A702">
        <v>3.7236845925825401E-28</v>
      </c>
      <c r="B702">
        <v>0.31792931111191503</v>
      </c>
      <c r="C702">
        <v>0.16700000000000001</v>
      </c>
      <c r="D702">
        <v>0.01</v>
      </c>
      <c r="E702">
        <v>5.7653808546955501E-24</v>
      </c>
      <c r="F702">
        <v>1</v>
      </c>
      <c r="G702" t="s">
        <v>2102</v>
      </c>
      <c r="H702" t="s">
        <v>2103</v>
      </c>
      <c r="I702" t="s">
        <v>2102</v>
      </c>
      <c r="J702" s="1" t="str">
        <f>HYPERLINK("https://zfin.org/ZDB-GENE-091204-411")</f>
        <v>https://zfin.org/ZDB-GENE-091204-411</v>
      </c>
      <c r="K702" t="s">
        <v>2104</v>
      </c>
    </row>
    <row r="703" spans="1:11" x14ac:dyDescent="0.2">
      <c r="A703">
        <v>6.7506185574150304E-28</v>
      </c>
      <c r="B703">
        <v>0.636996365460055</v>
      </c>
      <c r="C703">
        <v>0.96499999999999997</v>
      </c>
      <c r="D703">
        <v>0.48299999999999998</v>
      </c>
      <c r="E703">
        <v>1.04519827124457E-23</v>
      </c>
      <c r="F703">
        <v>1</v>
      </c>
      <c r="G703" t="s">
        <v>2105</v>
      </c>
      <c r="H703" t="s">
        <v>2106</v>
      </c>
      <c r="I703" t="s">
        <v>2105</v>
      </c>
      <c r="J703" s="1" t="str">
        <f>HYPERLINK("https://zfin.org/ZDB-GENE-040801-18")</f>
        <v>https://zfin.org/ZDB-GENE-040801-18</v>
      </c>
      <c r="K703" t="s">
        <v>2107</v>
      </c>
    </row>
    <row r="704" spans="1:11" x14ac:dyDescent="0.2">
      <c r="A704">
        <v>6.8383344911618402E-28</v>
      </c>
      <c r="B704">
        <v>0.330601783478499</v>
      </c>
      <c r="C704">
        <v>0.33300000000000002</v>
      </c>
      <c r="D704">
        <v>0.05</v>
      </c>
      <c r="E704">
        <v>1.05877932926659E-23</v>
      </c>
      <c r="F704">
        <v>1</v>
      </c>
      <c r="G704" t="s">
        <v>2108</v>
      </c>
      <c r="H704" t="s">
        <v>2109</v>
      </c>
      <c r="I704" t="s">
        <v>2108</v>
      </c>
      <c r="J704" s="1" t="str">
        <f>HYPERLINK("https://zfin.org/ZDB-GENE-030219-75")</f>
        <v>https://zfin.org/ZDB-GENE-030219-75</v>
      </c>
      <c r="K704" t="s">
        <v>2110</v>
      </c>
    </row>
    <row r="705" spans="1:11" x14ac:dyDescent="0.2">
      <c r="A705">
        <v>9.7737646803108402E-28</v>
      </c>
      <c r="B705">
        <v>0.57214234302438005</v>
      </c>
      <c r="C705">
        <v>0.746</v>
      </c>
      <c r="D705">
        <v>0.23100000000000001</v>
      </c>
      <c r="E705">
        <v>1.5132719854525301E-23</v>
      </c>
      <c r="F705">
        <v>1</v>
      </c>
      <c r="G705" t="s">
        <v>2111</v>
      </c>
      <c r="H705" t="s">
        <v>2112</v>
      </c>
      <c r="I705" t="s">
        <v>2111</v>
      </c>
      <c r="J705" s="1" t="str">
        <f>HYPERLINK("https://zfin.org/ZDB-GENE-050302-97")</f>
        <v>https://zfin.org/ZDB-GENE-050302-97</v>
      </c>
      <c r="K705" t="s">
        <v>2113</v>
      </c>
    </row>
    <row r="706" spans="1:11" x14ac:dyDescent="0.2">
      <c r="A706">
        <v>9.9637100661146806E-28</v>
      </c>
      <c r="B706">
        <v>0.71060182238389602</v>
      </c>
      <c r="C706">
        <v>0.88600000000000001</v>
      </c>
      <c r="D706">
        <v>0.39100000000000001</v>
      </c>
      <c r="E706">
        <v>1.54268122953654E-23</v>
      </c>
      <c r="F706">
        <v>1</v>
      </c>
      <c r="G706" t="s">
        <v>2114</v>
      </c>
      <c r="H706" t="s">
        <v>2115</v>
      </c>
      <c r="I706" t="s">
        <v>2114</v>
      </c>
      <c r="J706" s="1" t="str">
        <f>HYPERLINK("https://zfin.org/ZDB-GENE-040426-2143")</f>
        <v>https://zfin.org/ZDB-GENE-040426-2143</v>
      </c>
      <c r="K706" t="s">
        <v>2116</v>
      </c>
    </row>
    <row r="707" spans="1:11" x14ac:dyDescent="0.2">
      <c r="A707">
        <v>1.0562745593232001E-27</v>
      </c>
      <c r="B707">
        <v>0.51916584197426996</v>
      </c>
      <c r="C707">
        <v>0.51800000000000002</v>
      </c>
      <c r="D707">
        <v>0.11899999999999999</v>
      </c>
      <c r="E707">
        <v>1.6354299002001E-23</v>
      </c>
      <c r="F707">
        <v>1</v>
      </c>
      <c r="G707" t="s">
        <v>2117</v>
      </c>
      <c r="H707" t="s">
        <v>2118</v>
      </c>
      <c r="I707" t="s">
        <v>2117</v>
      </c>
      <c r="J707" s="1" t="str">
        <f>HYPERLINK("https://zfin.org/ZDB-GENE-040426-1200")</f>
        <v>https://zfin.org/ZDB-GENE-040426-1200</v>
      </c>
      <c r="K707" t="s">
        <v>2119</v>
      </c>
    </row>
    <row r="708" spans="1:11" x14ac:dyDescent="0.2">
      <c r="A708">
        <v>1.12179249881663E-27</v>
      </c>
      <c r="B708">
        <v>0.47960458816123502</v>
      </c>
      <c r="C708">
        <v>0.73699999999999999</v>
      </c>
      <c r="D708">
        <v>0.214</v>
      </c>
      <c r="E708">
        <v>1.73687132591779E-23</v>
      </c>
      <c r="F708">
        <v>1</v>
      </c>
      <c r="G708" t="s">
        <v>2120</v>
      </c>
      <c r="H708" t="s">
        <v>2121</v>
      </c>
      <c r="I708" t="s">
        <v>2120</v>
      </c>
      <c r="J708" s="1" t="str">
        <f>HYPERLINK("https://zfin.org/ZDB-GENE-991008-18")</f>
        <v>https://zfin.org/ZDB-GENE-991008-18</v>
      </c>
      <c r="K708" t="s">
        <v>2122</v>
      </c>
    </row>
    <row r="709" spans="1:11" x14ac:dyDescent="0.2">
      <c r="A709">
        <v>1.19016450039281E-27</v>
      </c>
      <c r="B709">
        <v>-1.7058428989892001</v>
      </c>
      <c r="C709">
        <v>0.69299999999999995</v>
      </c>
      <c r="D709">
        <v>0.79200000000000004</v>
      </c>
      <c r="E709">
        <v>1.8427316959581799E-23</v>
      </c>
      <c r="F709">
        <v>1</v>
      </c>
      <c r="G709" t="s">
        <v>2123</v>
      </c>
      <c r="H709" t="s">
        <v>2124</v>
      </c>
      <c r="I709" t="s">
        <v>2123</v>
      </c>
      <c r="J709" s="1" t="str">
        <f>HYPERLINK("https://zfin.org/ZDB-GENE-141222-6")</f>
        <v>https://zfin.org/ZDB-GENE-141222-6</v>
      </c>
      <c r="K709" t="s">
        <v>2125</v>
      </c>
    </row>
    <row r="710" spans="1:11" x14ac:dyDescent="0.2">
      <c r="A710">
        <v>1.41778740969637E-27</v>
      </c>
      <c r="B710">
        <v>-0.70723790445391899</v>
      </c>
      <c r="C710">
        <v>0.99099999999999999</v>
      </c>
      <c r="D710">
        <v>0.93700000000000006</v>
      </c>
      <c r="E710">
        <v>2.1951602464328901E-23</v>
      </c>
      <c r="F710">
        <v>1</v>
      </c>
      <c r="G710" t="s">
        <v>2126</v>
      </c>
      <c r="H710" t="s">
        <v>2127</v>
      </c>
      <c r="I710" t="s">
        <v>2126</v>
      </c>
      <c r="J710" s="1" t="str">
        <f>HYPERLINK("https://zfin.org/ZDB-GENE-030131-8657")</f>
        <v>https://zfin.org/ZDB-GENE-030131-8657</v>
      </c>
      <c r="K710" t="s">
        <v>2128</v>
      </c>
    </row>
    <row r="711" spans="1:11" x14ac:dyDescent="0.2">
      <c r="A711">
        <v>1.4265429568312701E-27</v>
      </c>
      <c r="B711">
        <v>-0.75660982680818001</v>
      </c>
      <c r="C711">
        <v>0.99099999999999999</v>
      </c>
      <c r="D711">
        <v>0.91800000000000004</v>
      </c>
      <c r="E711">
        <v>2.2087164600618601E-23</v>
      </c>
      <c r="F711">
        <v>1</v>
      </c>
      <c r="G711" t="s">
        <v>2129</v>
      </c>
      <c r="H711" t="s">
        <v>2130</v>
      </c>
      <c r="I711" t="s">
        <v>2129</v>
      </c>
      <c r="J711" s="1" t="str">
        <f>HYPERLINK("https://zfin.org/ZDB-GENE-040426-2701")</f>
        <v>https://zfin.org/ZDB-GENE-040426-2701</v>
      </c>
      <c r="K711" t="s">
        <v>2131</v>
      </c>
    </row>
    <row r="712" spans="1:11" x14ac:dyDescent="0.2">
      <c r="A712">
        <v>1.5264863167795801E-27</v>
      </c>
      <c r="B712">
        <v>0.32650770435153698</v>
      </c>
      <c r="C712">
        <v>0.377</v>
      </c>
      <c r="D712">
        <v>6.3E-2</v>
      </c>
      <c r="E712">
        <v>2.36345876426983E-23</v>
      </c>
      <c r="F712">
        <v>1</v>
      </c>
      <c r="G712" t="s">
        <v>2132</v>
      </c>
      <c r="H712" t="s">
        <v>2133</v>
      </c>
      <c r="I712" t="s">
        <v>2132</v>
      </c>
      <c r="J712" s="1" t="str">
        <f>HYPERLINK("https://zfin.org/ZDB-GENE-080218-15")</f>
        <v>https://zfin.org/ZDB-GENE-080218-15</v>
      </c>
      <c r="K712" t="s">
        <v>2134</v>
      </c>
    </row>
    <row r="713" spans="1:11" x14ac:dyDescent="0.2">
      <c r="A713">
        <v>2.4596574764897099E-27</v>
      </c>
      <c r="B713">
        <v>-0.82327510692217398</v>
      </c>
      <c r="C713">
        <v>0.99099999999999999</v>
      </c>
      <c r="D713">
        <v>0.94</v>
      </c>
      <c r="E713">
        <v>3.8082876708490102E-23</v>
      </c>
      <c r="F713">
        <v>1</v>
      </c>
      <c r="G713" t="s">
        <v>2135</v>
      </c>
      <c r="H713" t="s">
        <v>2136</v>
      </c>
      <c r="I713" t="s">
        <v>2135</v>
      </c>
      <c r="J713" s="1" t="str">
        <f>HYPERLINK("https://zfin.org/ZDB-GENE-030131-8654")</f>
        <v>https://zfin.org/ZDB-GENE-030131-8654</v>
      </c>
      <c r="K713" t="s">
        <v>2137</v>
      </c>
    </row>
    <row r="714" spans="1:11" x14ac:dyDescent="0.2">
      <c r="A714">
        <v>2.6265381465442401E-27</v>
      </c>
      <c r="B714">
        <v>0.66476172034706005</v>
      </c>
      <c r="C714">
        <v>0.94699999999999995</v>
      </c>
      <c r="D714">
        <v>0.45700000000000002</v>
      </c>
      <c r="E714">
        <v>4.0666690122944399E-23</v>
      </c>
      <c r="F714">
        <v>1</v>
      </c>
      <c r="G714" t="s">
        <v>2138</v>
      </c>
      <c r="H714" t="s">
        <v>2139</v>
      </c>
      <c r="I714" t="s">
        <v>2138</v>
      </c>
      <c r="J714" s="1" t="str">
        <f>HYPERLINK("https://zfin.org/ZDB-GENE-051130-1")</f>
        <v>https://zfin.org/ZDB-GENE-051130-1</v>
      </c>
      <c r="K714" t="s">
        <v>2140</v>
      </c>
    </row>
    <row r="715" spans="1:11" x14ac:dyDescent="0.2">
      <c r="A715">
        <v>2.6551295486495998E-27</v>
      </c>
      <c r="B715">
        <v>-0.80088088800391899</v>
      </c>
      <c r="C715">
        <v>0.93899999999999995</v>
      </c>
      <c r="D715">
        <v>0.91</v>
      </c>
      <c r="E715">
        <v>4.1109370801741802E-23</v>
      </c>
      <c r="F715">
        <v>1</v>
      </c>
      <c r="G715" t="s">
        <v>2141</v>
      </c>
      <c r="H715" t="s">
        <v>2142</v>
      </c>
      <c r="I715" t="s">
        <v>2141</v>
      </c>
      <c r="J715" s="1" t="str">
        <f>HYPERLINK("https://zfin.org/ZDB-GENE-030131-8512")</f>
        <v>https://zfin.org/ZDB-GENE-030131-8512</v>
      </c>
      <c r="K715" t="s">
        <v>2143</v>
      </c>
    </row>
    <row r="716" spans="1:11" x14ac:dyDescent="0.2">
      <c r="A716">
        <v>3.1452151953726301E-27</v>
      </c>
      <c r="B716">
        <v>0.36676955087528501</v>
      </c>
      <c r="C716">
        <v>0.40400000000000003</v>
      </c>
      <c r="D716">
        <v>7.2999999999999995E-2</v>
      </c>
      <c r="E716">
        <v>4.8697366869954401E-23</v>
      </c>
      <c r="F716">
        <v>1</v>
      </c>
      <c r="G716" t="s">
        <v>2144</v>
      </c>
      <c r="H716" t="s">
        <v>2145</v>
      </c>
      <c r="I716" t="s">
        <v>2144</v>
      </c>
      <c r="J716" s="1" t="str">
        <f>HYPERLINK("https://zfin.org/ZDB-GENE-090313-209")</f>
        <v>https://zfin.org/ZDB-GENE-090313-209</v>
      </c>
      <c r="K716" t="s">
        <v>2146</v>
      </c>
    </row>
    <row r="717" spans="1:11" x14ac:dyDescent="0.2">
      <c r="A717">
        <v>3.3285297982392897E-27</v>
      </c>
      <c r="B717">
        <v>0.265016070151604</v>
      </c>
      <c r="C717">
        <v>0.246</v>
      </c>
      <c r="D717">
        <v>2.7E-2</v>
      </c>
      <c r="E717">
        <v>5.1535626866139002E-23</v>
      </c>
      <c r="F717">
        <v>1</v>
      </c>
      <c r="G717" t="s">
        <v>2147</v>
      </c>
      <c r="H717" t="s">
        <v>2148</v>
      </c>
      <c r="I717" t="s">
        <v>2147</v>
      </c>
      <c r="J717" s="1" t="str">
        <f>HYPERLINK("https://zfin.org/ZDB-GENE-131120-69")</f>
        <v>https://zfin.org/ZDB-GENE-131120-69</v>
      </c>
      <c r="K717" t="s">
        <v>2149</v>
      </c>
    </row>
    <row r="718" spans="1:11" x14ac:dyDescent="0.2">
      <c r="A718">
        <v>4.3420150694133601E-27</v>
      </c>
      <c r="B718">
        <v>0.59207845610777698</v>
      </c>
      <c r="C718">
        <v>0.98199999999999998</v>
      </c>
      <c r="D718">
        <v>0.81</v>
      </c>
      <c r="E718">
        <v>6.7227419319727005E-23</v>
      </c>
      <c r="F718">
        <v>1</v>
      </c>
      <c r="G718" t="s">
        <v>2150</v>
      </c>
      <c r="H718" t="s">
        <v>2151</v>
      </c>
      <c r="I718" t="s">
        <v>2150</v>
      </c>
      <c r="J718" s="1" t="str">
        <f>HYPERLINK("https://zfin.org/ZDB-GENE-040426-2756")</f>
        <v>https://zfin.org/ZDB-GENE-040426-2756</v>
      </c>
      <c r="K718" t="s">
        <v>2152</v>
      </c>
    </row>
    <row r="719" spans="1:11" x14ac:dyDescent="0.2">
      <c r="A719">
        <v>5.6970404153452197E-27</v>
      </c>
      <c r="B719">
        <v>0.39303781166712798</v>
      </c>
      <c r="C719">
        <v>0.43</v>
      </c>
      <c r="D719">
        <v>8.5000000000000006E-2</v>
      </c>
      <c r="E719">
        <v>8.8207276750790096E-23</v>
      </c>
      <c r="F719">
        <v>1</v>
      </c>
      <c r="G719" t="s">
        <v>2153</v>
      </c>
      <c r="H719" t="s">
        <v>2154</v>
      </c>
      <c r="I719" t="s">
        <v>2153</v>
      </c>
      <c r="J719" s="1" t="str">
        <f>HYPERLINK("https://zfin.org/ZDB-GENE-040718-28")</f>
        <v>https://zfin.org/ZDB-GENE-040718-28</v>
      </c>
      <c r="K719" t="s">
        <v>2155</v>
      </c>
    </row>
    <row r="720" spans="1:11" x14ac:dyDescent="0.2">
      <c r="A720">
        <v>6.3142761123578699E-27</v>
      </c>
      <c r="B720">
        <v>0.73918490240212698</v>
      </c>
      <c r="C720">
        <v>0.85099999999999998</v>
      </c>
      <c r="D720">
        <v>0.36199999999999999</v>
      </c>
      <c r="E720">
        <v>9.7763937047637003E-23</v>
      </c>
      <c r="F720">
        <v>1</v>
      </c>
      <c r="G720" t="s">
        <v>2156</v>
      </c>
      <c r="H720" t="s">
        <v>2157</v>
      </c>
      <c r="I720" t="s">
        <v>2156</v>
      </c>
      <c r="J720" s="1" t="str">
        <f>HYPERLINK("https://zfin.org/ZDB-GENE-050522-279")</f>
        <v>https://zfin.org/ZDB-GENE-050522-279</v>
      </c>
      <c r="K720" t="s">
        <v>2158</v>
      </c>
    </row>
    <row r="721" spans="1:11" x14ac:dyDescent="0.2">
      <c r="A721">
        <v>6.6934262486086693E-27</v>
      </c>
      <c r="B721">
        <v>0.69778107463012795</v>
      </c>
      <c r="C721">
        <v>0.84199999999999997</v>
      </c>
      <c r="D721">
        <v>0.32600000000000001</v>
      </c>
      <c r="E721">
        <v>1.03634318607208E-22</v>
      </c>
      <c r="F721">
        <v>1</v>
      </c>
      <c r="G721" t="s">
        <v>2159</v>
      </c>
      <c r="H721" t="s">
        <v>2160</v>
      </c>
      <c r="I721" t="s">
        <v>2159</v>
      </c>
      <c r="J721" s="1" t="str">
        <f>HYPERLINK("https://zfin.org/ZDB-GENE-040426-2448")</f>
        <v>https://zfin.org/ZDB-GENE-040426-2448</v>
      </c>
      <c r="K721" t="s">
        <v>2161</v>
      </c>
    </row>
    <row r="722" spans="1:11" x14ac:dyDescent="0.2">
      <c r="A722">
        <v>8.2745320170893004E-27</v>
      </c>
      <c r="B722">
        <v>0.59858478350296296</v>
      </c>
      <c r="C722">
        <v>0.73699999999999999</v>
      </c>
      <c r="D722">
        <v>0.23200000000000001</v>
      </c>
      <c r="E722">
        <v>1.2811457922059401E-22</v>
      </c>
      <c r="F722">
        <v>1</v>
      </c>
      <c r="G722" t="s">
        <v>2162</v>
      </c>
      <c r="H722" t="s">
        <v>2163</v>
      </c>
      <c r="I722" t="s">
        <v>2162</v>
      </c>
      <c r="J722" s="1" t="str">
        <f>HYPERLINK("https://zfin.org/ZDB-GENE-120411-6")</f>
        <v>https://zfin.org/ZDB-GENE-120411-6</v>
      </c>
      <c r="K722" t="s">
        <v>2164</v>
      </c>
    </row>
    <row r="723" spans="1:11" x14ac:dyDescent="0.2">
      <c r="A723">
        <v>1.0969692723555099E-26</v>
      </c>
      <c r="B723">
        <v>0.260903415299992</v>
      </c>
      <c r="C723">
        <v>0.22800000000000001</v>
      </c>
      <c r="D723">
        <v>2.4E-2</v>
      </c>
      <c r="E723">
        <v>1.6984375243880399E-22</v>
      </c>
      <c r="F723">
        <v>1</v>
      </c>
      <c r="G723" t="s">
        <v>2165</v>
      </c>
      <c r="H723" t="s">
        <v>2166</v>
      </c>
      <c r="I723" t="s">
        <v>2165</v>
      </c>
      <c r="J723" s="1" t="str">
        <f>HYPERLINK("https://zfin.org/ZDB-GENE-040426-1767")</f>
        <v>https://zfin.org/ZDB-GENE-040426-1767</v>
      </c>
      <c r="K723" t="s">
        <v>2167</v>
      </c>
    </row>
    <row r="724" spans="1:11" x14ac:dyDescent="0.2">
      <c r="A724">
        <v>1.3012629856607501E-26</v>
      </c>
      <c r="B724">
        <v>-0.794449199066247</v>
      </c>
      <c r="C724">
        <v>0.98199999999999998</v>
      </c>
      <c r="D724">
        <v>0.89500000000000002</v>
      </c>
      <c r="E724">
        <v>2.01474548069854E-22</v>
      </c>
      <c r="F724">
        <v>1</v>
      </c>
      <c r="G724" t="s">
        <v>2168</v>
      </c>
      <c r="H724" t="s">
        <v>2169</v>
      </c>
      <c r="I724" t="s">
        <v>2168</v>
      </c>
      <c r="J724" s="1" t="str">
        <f>HYPERLINK("https://zfin.org/ZDB-GENE-040426-1700")</f>
        <v>https://zfin.org/ZDB-GENE-040426-1700</v>
      </c>
      <c r="K724" t="s">
        <v>2170</v>
      </c>
    </row>
    <row r="725" spans="1:11" x14ac:dyDescent="0.2">
      <c r="A725">
        <v>1.30973498322871E-26</v>
      </c>
      <c r="B725">
        <v>-0.82910669691928995</v>
      </c>
      <c r="C725">
        <v>0.95599999999999996</v>
      </c>
      <c r="D725">
        <v>0.92800000000000005</v>
      </c>
      <c r="E725">
        <v>2.0278626745330101E-22</v>
      </c>
      <c r="F725">
        <v>1</v>
      </c>
      <c r="G725" t="s">
        <v>2171</v>
      </c>
      <c r="H725" t="s">
        <v>2172</v>
      </c>
      <c r="I725" t="s">
        <v>2171</v>
      </c>
      <c r="J725" s="1" t="str">
        <f>HYPERLINK("https://zfin.org/ZDB-GENE-030131-8417")</f>
        <v>https://zfin.org/ZDB-GENE-030131-8417</v>
      </c>
      <c r="K725" t="s">
        <v>2173</v>
      </c>
    </row>
    <row r="726" spans="1:11" x14ac:dyDescent="0.2">
      <c r="A726">
        <v>1.5332249552124799E-26</v>
      </c>
      <c r="B726">
        <v>-0.74350357629385899</v>
      </c>
      <c r="C726">
        <v>0.94699999999999995</v>
      </c>
      <c r="D726">
        <v>0.92700000000000005</v>
      </c>
      <c r="E726">
        <v>2.3738921981554799E-22</v>
      </c>
      <c r="F726">
        <v>1</v>
      </c>
      <c r="G726" t="s">
        <v>2174</v>
      </c>
      <c r="H726" t="s">
        <v>2175</v>
      </c>
      <c r="I726" t="s">
        <v>2174</v>
      </c>
      <c r="J726" s="1" t="str">
        <f>HYPERLINK("https://zfin.org/ZDB-GENE-020419-20")</f>
        <v>https://zfin.org/ZDB-GENE-020419-20</v>
      </c>
      <c r="K726" t="s">
        <v>2176</v>
      </c>
    </row>
    <row r="727" spans="1:11" x14ac:dyDescent="0.2">
      <c r="A727">
        <v>1.5565673267225101E-26</v>
      </c>
      <c r="B727">
        <v>0.69880895529065601</v>
      </c>
      <c r="C727">
        <v>0.95599999999999996</v>
      </c>
      <c r="D727">
        <v>0.51300000000000001</v>
      </c>
      <c r="E727">
        <v>2.4100331919644599E-22</v>
      </c>
      <c r="F727">
        <v>1</v>
      </c>
      <c r="G727" t="s">
        <v>2177</v>
      </c>
      <c r="H727" t="s">
        <v>2178</v>
      </c>
      <c r="I727" t="s">
        <v>2177</v>
      </c>
      <c r="J727" s="1" t="str">
        <f>HYPERLINK("https://zfin.org/")</f>
        <v>https://zfin.org/</v>
      </c>
      <c r="K727" t="s">
        <v>2179</v>
      </c>
    </row>
    <row r="728" spans="1:11" x14ac:dyDescent="0.2">
      <c r="A728">
        <v>1.56721654198593E-26</v>
      </c>
      <c r="B728">
        <v>0.36681756125388998</v>
      </c>
      <c r="C728">
        <v>0.43</v>
      </c>
      <c r="D728">
        <v>8.5000000000000006E-2</v>
      </c>
      <c r="E728">
        <v>2.4265213719568199E-22</v>
      </c>
      <c r="F728">
        <v>1</v>
      </c>
      <c r="G728" t="s">
        <v>2180</v>
      </c>
      <c r="H728" t="s">
        <v>2181</v>
      </c>
      <c r="I728" t="s">
        <v>2180</v>
      </c>
      <c r="J728" s="1" t="str">
        <f>HYPERLINK("https://zfin.org/ZDB-GENE-050220-4")</f>
        <v>https://zfin.org/ZDB-GENE-050220-4</v>
      </c>
      <c r="K728" t="s">
        <v>2182</v>
      </c>
    </row>
    <row r="729" spans="1:11" x14ac:dyDescent="0.2">
      <c r="A729">
        <v>2.20962918064127E-26</v>
      </c>
      <c r="B729">
        <v>0.47104045226755598</v>
      </c>
      <c r="C729">
        <v>0.47399999999999998</v>
      </c>
      <c r="D729">
        <v>0.106</v>
      </c>
      <c r="E729">
        <v>3.4211688603868798E-22</v>
      </c>
      <c r="F729">
        <v>1</v>
      </c>
      <c r="G729" t="s">
        <v>2183</v>
      </c>
      <c r="H729" t="s">
        <v>2184</v>
      </c>
      <c r="I729" t="s">
        <v>2183</v>
      </c>
      <c r="J729" s="1" t="str">
        <f>HYPERLINK("https://zfin.org/ZDB-GENE-040426-1753")</f>
        <v>https://zfin.org/ZDB-GENE-040426-1753</v>
      </c>
      <c r="K729" t="s">
        <v>2185</v>
      </c>
    </row>
    <row r="730" spans="1:11" x14ac:dyDescent="0.2">
      <c r="A730">
        <v>2.2968696548810399E-26</v>
      </c>
      <c r="B730">
        <v>0.57907358957875499</v>
      </c>
      <c r="C730">
        <v>0.72799999999999998</v>
      </c>
      <c r="D730">
        <v>0.24099999999999999</v>
      </c>
      <c r="E730">
        <v>3.5562432866523098E-22</v>
      </c>
      <c r="F730">
        <v>1</v>
      </c>
      <c r="G730" t="s">
        <v>2186</v>
      </c>
      <c r="H730" t="s">
        <v>2187</v>
      </c>
      <c r="I730" t="s">
        <v>2186</v>
      </c>
      <c r="J730" s="1" t="str">
        <f>HYPERLINK("https://zfin.org/ZDB-GENE-060825-325")</f>
        <v>https://zfin.org/ZDB-GENE-060825-325</v>
      </c>
      <c r="K730" t="s">
        <v>2188</v>
      </c>
    </row>
    <row r="731" spans="1:11" x14ac:dyDescent="0.2">
      <c r="A731">
        <v>2.7282790069338301E-26</v>
      </c>
      <c r="B731">
        <v>0.26500106621958802</v>
      </c>
      <c r="C731">
        <v>0.23699999999999999</v>
      </c>
      <c r="D731">
        <v>2.5999999999999999E-2</v>
      </c>
      <c r="E731">
        <v>4.2241943864356498E-22</v>
      </c>
      <c r="F731">
        <v>1</v>
      </c>
      <c r="G731" t="s">
        <v>2189</v>
      </c>
      <c r="H731" t="s">
        <v>2190</v>
      </c>
      <c r="I731" t="s">
        <v>2189</v>
      </c>
      <c r="J731" s="1" t="str">
        <f>HYPERLINK("https://zfin.org/ZDB-GENE-050227-4")</f>
        <v>https://zfin.org/ZDB-GENE-050227-4</v>
      </c>
      <c r="K731" t="s">
        <v>2191</v>
      </c>
    </row>
    <row r="732" spans="1:11" x14ac:dyDescent="0.2">
      <c r="A732">
        <v>2.8488883190644599E-26</v>
      </c>
      <c r="B732">
        <v>-0.81014273583532403</v>
      </c>
      <c r="C732">
        <v>0.90400000000000003</v>
      </c>
      <c r="D732">
        <v>0.89600000000000002</v>
      </c>
      <c r="E732">
        <v>4.4109337844074997E-22</v>
      </c>
      <c r="F732">
        <v>1</v>
      </c>
      <c r="G732" t="s">
        <v>2192</v>
      </c>
      <c r="H732" t="s">
        <v>2193</v>
      </c>
      <c r="I732" t="s">
        <v>2192</v>
      </c>
      <c r="J732" s="1" t="str">
        <f>HYPERLINK("https://zfin.org/ZDB-GENE-030131-8585")</f>
        <v>https://zfin.org/ZDB-GENE-030131-8585</v>
      </c>
      <c r="K732" t="s">
        <v>2194</v>
      </c>
    </row>
    <row r="733" spans="1:11" x14ac:dyDescent="0.2">
      <c r="A733">
        <v>2.8690396956481002E-26</v>
      </c>
      <c r="B733">
        <v>0.51230645497240002</v>
      </c>
      <c r="C733">
        <v>0.84199999999999997</v>
      </c>
      <c r="D733">
        <v>0.28799999999999998</v>
      </c>
      <c r="E733">
        <v>4.4421341607719503E-22</v>
      </c>
      <c r="F733">
        <v>1</v>
      </c>
      <c r="G733" t="s">
        <v>2195</v>
      </c>
      <c r="H733" t="s">
        <v>2196</v>
      </c>
      <c r="I733" t="s">
        <v>2195</v>
      </c>
      <c r="J733" s="1" t="str">
        <f>HYPERLINK("https://zfin.org/ZDB-GENE-050320-132")</f>
        <v>https://zfin.org/ZDB-GENE-050320-132</v>
      </c>
      <c r="K733" t="s">
        <v>2197</v>
      </c>
    </row>
    <row r="734" spans="1:11" x14ac:dyDescent="0.2">
      <c r="A734">
        <v>2.9066883416866898E-26</v>
      </c>
      <c r="B734">
        <v>-1.1333468242725999</v>
      </c>
      <c r="C734">
        <v>0.76300000000000001</v>
      </c>
      <c r="D734">
        <v>0.83599999999999997</v>
      </c>
      <c r="E734">
        <v>4.5004255594335E-22</v>
      </c>
      <c r="F734">
        <v>1</v>
      </c>
      <c r="G734" t="s">
        <v>2198</v>
      </c>
      <c r="H734" t="s">
        <v>2199</v>
      </c>
      <c r="I734" t="s">
        <v>2198</v>
      </c>
      <c r="J734" s="1" t="str">
        <f>HYPERLINK("https://zfin.org/ZDB-GENE-040426-2740")</f>
        <v>https://zfin.org/ZDB-GENE-040426-2740</v>
      </c>
      <c r="K734" t="s">
        <v>2200</v>
      </c>
    </row>
    <row r="735" spans="1:11" x14ac:dyDescent="0.2">
      <c r="A735">
        <v>2.9537911737415401E-26</v>
      </c>
      <c r="B735">
        <v>-0.95573024594419598</v>
      </c>
      <c r="C735">
        <v>0.80700000000000005</v>
      </c>
      <c r="D735">
        <v>0.83699999999999997</v>
      </c>
      <c r="E735">
        <v>4.5733548743040203E-22</v>
      </c>
      <c r="F735">
        <v>1</v>
      </c>
      <c r="G735" t="s">
        <v>2201</v>
      </c>
      <c r="H735" t="s">
        <v>2202</v>
      </c>
      <c r="I735" t="s">
        <v>2201</v>
      </c>
      <c r="J735" s="1" t="str">
        <f>HYPERLINK("https://zfin.org/ZDB-GENE-030131-7479")</f>
        <v>https://zfin.org/ZDB-GENE-030131-7479</v>
      </c>
      <c r="K735" t="s">
        <v>2203</v>
      </c>
    </row>
    <row r="736" spans="1:11" x14ac:dyDescent="0.2">
      <c r="A736">
        <v>3.0521069677149699E-26</v>
      </c>
      <c r="B736">
        <v>0.31326594595776802</v>
      </c>
      <c r="C736">
        <v>0.29799999999999999</v>
      </c>
      <c r="D736">
        <v>4.2999999999999997E-2</v>
      </c>
      <c r="E736">
        <v>4.7255772181130903E-22</v>
      </c>
      <c r="F736">
        <v>1</v>
      </c>
      <c r="G736" t="s">
        <v>2204</v>
      </c>
      <c r="H736" t="s">
        <v>2205</v>
      </c>
      <c r="I736" t="s">
        <v>2204</v>
      </c>
      <c r="J736" s="1" t="str">
        <f>HYPERLINK("https://zfin.org/ZDB-GENE-060929-708")</f>
        <v>https://zfin.org/ZDB-GENE-060929-708</v>
      </c>
      <c r="K736" t="s">
        <v>2206</v>
      </c>
    </row>
    <row r="737" spans="1:11" x14ac:dyDescent="0.2">
      <c r="A737">
        <v>4.01834612250886E-26</v>
      </c>
      <c r="B737">
        <v>-0.744213210925873</v>
      </c>
      <c r="C737">
        <v>0.99099999999999999</v>
      </c>
      <c r="D737">
        <v>0.96199999999999997</v>
      </c>
      <c r="E737">
        <v>6.2216053014804701E-22</v>
      </c>
      <c r="F737">
        <v>1</v>
      </c>
      <c r="G737" t="s">
        <v>2207</v>
      </c>
      <c r="H737" t="s">
        <v>2208</v>
      </c>
      <c r="I737" t="s">
        <v>2207</v>
      </c>
      <c r="J737" s="1" t="str">
        <f>HYPERLINK("https://zfin.org/ZDB-GENE-040426-2454")</f>
        <v>https://zfin.org/ZDB-GENE-040426-2454</v>
      </c>
      <c r="K737" t="s">
        <v>2209</v>
      </c>
    </row>
    <row r="738" spans="1:11" x14ac:dyDescent="0.2">
      <c r="A738">
        <v>4.1948206119518701E-26</v>
      </c>
      <c r="B738">
        <v>-1.71683405624772</v>
      </c>
      <c r="C738">
        <v>5.2999999999999999E-2</v>
      </c>
      <c r="D738">
        <v>0.59499999999999997</v>
      </c>
      <c r="E738">
        <v>6.4948407534850804E-22</v>
      </c>
      <c r="F738">
        <v>1</v>
      </c>
      <c r="G738" t="s">
        <v>2210</v>
      </c>
      <c r="H738" t="s">
        <v>2211</v>
      </c>
      <c r="I738" t="s">
        <v>2210</v>
      </c>
      <c r="J738" s="1" t="str">
        <f>HYPERLINK("https://zfin.org/")</f>
        <v>https://zfin.org/</v>
      </c>
    </row>
    <row r="739" spans="1:11" x14ac:dyDescent="0.2">
      <c r="A739">
        <v>4.3924151330121899E-26</v>
      </c>
      <c r="B739">
        <v>0.27935701757677001</v>
      </c>
      <c r="C739">
        <v>0.158</v>
      </c>
      <c r="D739">
        <v>0.01</v>
      </c>
      <c r="E739">
        <v>6.8007763504427697E-22</v>
      </c>
      <c r="F739">
        <v>1</v>
      </c>
      <c r="G739" t="s">
        <v>2212</v>
      </c>
      <c r="H739" t="s">
        <v>2213</v>
      </c>
      <c r="I739" t="s">
        <v>2212</v>
      </c>
      <c r="J739" s="1" t="str">
        <f>HYPERLINK("https://zfin.org/ZDB-GENE-050419-82")</f>
        <v>https://zfin.org/ZDB-GENE-050419-82</v>
      </c>
      <c r="K739" t="s">
        <v>2214</v>
      </c>
    </row>
    <row r="740" spans="1:11" x14ac:dyDescent="0.2">
      <c r="A740">
        <v>4.5177939713812997E-26</v>
      </c>
      <c r="B740">
        <v>0.43950225140614402</v>
      </c>
      <c r="C740">
        <v>0.55300000000000005</v>
      </c>
      <c r="D740">
        <v>0.13600000000000001</v>
      </c>
      <c r="E740">
        <v>6.9949004058896601E-22</v>
      </c>
      <c r="F740">
        <v>1</v>
      </c>
      <c r="G740" t="s">
        <v>2215</v>
      </c>
      <c r="H740" t="s">
        <v>2216</v>
      </c>
      <c r="I740" t="s">
        <v>2215</v>
      </c>
      <c r="J740" s="1" t="str">
        <f>HYPERLINK("https://zfin.org/ZDB-GENE-030131-4415")</f>
        <v>https://zfin.org/ZDB-GENE-030131-4415</v>
      </c>
      <c r="K740" t="s">
        <v>2217</v>
      </c>
    </row>
    <row r="741" spans="1:11" x14ac:dyDescent="0.2">
      <c r="A741">
        <v>6.3200620520821905E-26</v>
      </c>
      <c r="B741">
        <v>0.53402619165022402</v>
      </c>
      <c r="C741">
        <v>0.99099999999999999</v>
      </c>
      <c r="D741">
        <v>0.98</v>
      </c>
      <c r="E741">
        <v>9.7853520752388602E-22</v>
      </c>
      <c r="F741">
        <v>1</v>
      </c>
      <c r="G741" t="s">
        <v>2218</v>
      </c>
      <c r="H741" t="s">
        <v>2219</v>
      </c>
      <c r="I741" t="s">
        <v>2218</v>
      </c>
      <c r="J741" s="1" t="str">
        <f>HYPERLINK("https://zfin.org/ZDB-GENE-011205-17")</f>
        <v>https://zfin.org/ZDB-GENE-011205-17</v>
      </c>
      <c r="K741" t="s">
        <v>2220</v>
      </c>
    </row>
    <row r="742" spans="1:11" x14ac:dyDescent="0.2">
      <c r="A742">
        <v>6.5913924909600994E-26</v>
      </c>
      <c r="B742">
        <v>-0.81057827047130704</v>
      </c>
      <c r="C742">
        <v>0.93899999999999995</v>
      </c>
      <c r="D742">
        <v>0.95499999999999996</v>
      </c>
      <c r="E742">
        <v>1.02054529937535E-21</v>
      </c>
      <c r="F742">
        <v>1</v>
      </c>
      <c r="G742" t="s">
        <v>2221</v>
      </c>
      <c r="H742" t="s">
        <v>2222</v>
      </c>
      <c r="I742" t="s">
        <v>2221</v>
      </c>
      <c r="J742" s="1" t="str">
        <f>HYPERLINK("https://zfin.org/ZDB-GENE-050208-726")</f>
        <v>https://zfin.org/ZDB-GENE-050208-726</v>
      </c>
      <c r="K742" t="s">
        <v>2223</v>
      </c>
    </row>
    <row r="743" spans="1:11" x14ac:dyDescent="0.2">
      <c r="A743">
        <v>8.6705201442862199E-26</v>
      </c>
      <c r="B743">
        <v>0.32560790648084798</v>
      </c>
      <c r="C743">
        <v>0.38600000000000001</v>
      </c>
      <c r="D743">
        <v>7.0000000000000007E-2</v>
      </c>
      <c r="E743">
        <v>1.34245663393983E-21</v>
      </c>
      <c r="F743">
        <v>1</v>
      </c>
      <c r="G743" t="s">
        <v>2224</v>
      </c>
      <c r="H743" t="s">
        <v>2225</v>
      </c>
      <c r="I743" t="s">
        <v>2224</v>
      </c>
      <c r="J743" s="1" t="str">
        <f>HYPERLINK("https://zfin.org/ZDB-GENE-050417-436")</f>
        <v>https://zfin.org/ZDB-GENE-050417-436</v>
      </c>
      <c r="K743" t="s">
        <v>2226</v>
      </c>
    </row>
    <row r="744" spans="1:11" x14ac:dyDescent="0.2">
      <c r="A744">
        <v>9.4810094122698496E-26</v>
      </c>
      <c r="B744">
        <v>0.350222849349347</v>
      </c>
      <c r="C744">
        <v>0.307</v>
      </c>
      <c r="D744">
        <v>4.7E-2</v>
      </c>
      <c r="E744">
        <v>1.4679446873017401E-21</v>
      </c>
      <c r="F744">
        <v>1</v>
      </c>
      <c r="G744" t="s">
        <v>2227</v>
      </c>
      <c r="H744" t="s">
        <v>2228</v>
      </c>
      <c r="I744" t="s">
        <v>2227</v>
      </c>
      <c r="J744" s="1" t="str">
        <f>HYPERLINK("https://zfin.org/ZDB-GENE-040718-384")</f>
        <v>https://zfin.org/ZDB-GENE-040718-384</v>
      </c>
      <c r="K744" t="s">
        <v>2229</v>
      </c>
    </row>
    <row r="745" spans="1:11" x14ac:dyDescent="0.2">
      <c r="A745">
        <v>1.09460354777332E-25</v>
      </c>
      <c r="B745">
        <v>-1.4360614232097899</v>
      </c>
      <c r="C745">
        <v>0.17499999999999999</v>
      </c>
      <c r="D745">
        <v>0.65400000000000003</v>
      </c>
      <c r="E745">
        <v>1.6947746730174299E-21</v>
      </c>
      <c r="F745">
        <v>1</v>
      </c>
      <c r="G745" t="s">
        <v>2230</v>
      </c>
      <c r="H745" t="s">
        <v>2231</v>
      </c>
      <c r="I745" t="s">
        <v>2230</v>
      </c>
      <c r="J745" s="1" t="str">
        <f>HYPERLINK("https://zfin.org/ZDB-GENE-050208-317")</f>
        <v>https://zfin.org/ZDB-GENE-050208-317</v>
      </c>
      <c r="K745" t="s">
        <v>2232</v>
      </c>
    </row>
    <row r="746" spans="1:11" x14ac:dyDescent="0.2">
      <c r="A746">
        <v>1.25014531976604E-25</v>
      </c>
      <c r="B746">
        <v>0.51309498079940896</v>
      </c>
      <c r="C746">
        <v>0.55300000000000005</v>
      </c>
      <c r="D746">
        <v>0.14499999999999999</v>
      </c>
      <c r="E746">
        <v>1.9355999985937701E-21</v>
      </c>
      <c r="F746">
        <v>1</v>
      </c>
      <c r="G746" t="s">
        <v>2233</v>
      </c>
      <c r="H746" t="s">
        <v>2234</v>
      </c>
      <c r="I746" t="s">
        <v>2233</v>
      </c>
      <c r="J746" s="1" t="str">
        <f>HYPERLINK("https://zfin.org/ZDB-GENE-030131-2348")</f>
        <v>https://zfin.org/ZDB-GENE-030131-2348</v>
      </c>
      <c r="K746" t="s">
        <v>2235</v>
      </c>
    </row>
    <row r="747" spans="1:11" x14ac:dyDescent="0.2">
      <c r="A747">
        <v>1.3144145207217701E-25</v>
      </c>
      <c r="B747">
        <v>-0.74021364241679799</v>
      </c>
      <c r="C747">
        <v>0.97399999999999998</v>
      </c>
      <c r="D747">
        <v>0.93500000000000005</v>
      </c>
      <c r="E747">
        <v>2.03510800243352E-21</v>
      </c>
      <c r="F747">
        <v>1</v>
      </c>
      <c r="G747" t="s">
        <v>2236</v>
      </c>
      <c r="H747" t="s">
        <v>2237</v>
      </c>
      <c r="I747" t="s">
        <v>2236</v>
      </c>
      <c r="J747" s="1" t="str">
        <f>HYPERLINK("https://zfin.org/ZDB-GENE-040426-1670")</f>
        <v>https://zfin.org/ZDB-GENE-040426-1670</v>
      </c>
      <c r="K747" t="s">
        <v>2238</v>
      </c>
    </row>
    <row r="748" spans="1:11" x14ac:dyDescent="0.2">
      <c r="A748">
        <v>1.43995079399281E-25</v>
      </c>
      <c r="B748">
        <v>0.35999721617793901</v>
      </c>
      <c r="C748">
        <v>0.307</v>
      </c>
      <c r="D748">
        <v>4.7E-2</v>
      </c>
      <c r="E748">
        <v>2.2294758143390698E-21</v>
      </c>
      <c r="F748">
        <v>1</v>
      </c>
      <c r="G748" t="s">
        <v>2239</v>
      </c>
      <c r="H748" t="s">
        <v>2240</v>
      </c>
      <c r="I748" t="s">
        <v>2239</v>
      </c>
      <c r="J748" s="1" t="str">
        <f>HYPERLINK("https://zfin.org/ZDB-GENE-040718-278")</f>
        <v>https://zfin.org/ZDB-GENE-040718-278</v>
      </c>
      <c r="K748" t="s">
        <v>2241</v>
      </c>
    </row>
    <row r="749" spans="1:11" x14ac:dyDescent="0.2">
      <c r="A749">
        <v>1.4610460521482001E-25</v>
      </c>
      <c r="B749">
        <v>0.34785386071303398</v>
      </c>
      <c r="C749">
        <v>0.66700000000000004</v>
      </c>
      <c r="D749">
        <v>0.17599999999999999</v>
      </c>
      <c r="E749">
        <v>2.2621376025410602E-21</v>
      </c>
      <c r="F749">
        <v>1</v>
      </c>
      <c r="G749" t="s">
        <v>2242</v>
      </c>
      <c r="H749" t="s">
        <v>2243</v>
      </c>
      <c r="I749" t="s">
        <v>2242</v>
      </c>
      <c r="J749" s="1" t="str">
        <f>HYPERLINK("https://zfin.org/ZDB-GENE-040718-150")</f>
        <v>https://zfin.org/ZDB-GENE-040718-150</v>
      </c>
      <c r="K749" t="s">
        <v>2244</v>
      </c>
    </row>
    <row r="750" spans="1:11" x14ac:dyDescent="0.2">
      <c r="A750">
        <v>1.6359989961489899E-25</v>
      </c>
      <c r="B750">
        <v>0.27835845887972799</v>
      </c>
      <c r="C750">
        <v>0.28899999999999998</v>
      </c>
      <c r="D750">
        <v>4.1000000000000002E-2</v>
      </c>
      <c r="E750">
        <v>2.53301724573747E-21</v>
      </c>
      <c r="F750">
        <v>1</v>
      </c>
      <c r="G750" t="s">
        <v>2245</v>
      </c>
      <c r="H750" t="s">
        <v>2246</v>
      </c>
      <c r="I750" t="s">
        <v>2245</v>
      </c>
      <c r="J750" s="1" t="str">
        <f>HYPERLINK("https://zfin.org/ZDB-GENE-030131-7582")</f>
        <v>https://zfin.org/ZDB-GENE-030131-7582</v>
      </c>
      <c r="K750" t="s">
        <v>2247</v>
      </c>
    </row>
    <row r="751" spans="1:11" x14ac:dyDescent="0.2">
      <c r="A751">
        <v>2.3980978180279099E-25</v>
      </c>
      <c r="B751">
        <v>0.36193806303619103</v>
      </c>
      <c r="C751">
        <v>0.21099999999999999</v>
      </c>
      <c r="D751">
        <v>2.1000000000000001E-2</v>
      </c>
      <c r="E751">
        <v>3.7129748516526197E-21</v>
      </c>
      <c r="F751">
        <v>1</v>
      </c>
      <c r="G751" t="s">
        <v>2248</v>
      </c>
      <c r="H751" t="s">
        <v>2249</v>
      </c>
      <c r="I751" t="s">
        <v>2248</v>
      </c>
      <c r="J751" s="1" t="str">
        <f>HYPERLINK("https://zfin.org/ZDB-GENE-990415-8")</f>
        <v>https://zfin.org/ZDB-GENE-990415-8</v>
      </c>
      <c r="K751" t="s">
        <v>2250</v>
      </c>
    </row>
    <row r="752" spans="1:11" x14ac:dyDescent="0.2">
      <c r="A752">
        <v>2.8064378804766201E-25</v>
      </c>
      <c r="B752">
        <v>0.26426083979792597</v>
      </c>
      <c r="C752">
        <v>0.34200000000000003</v>
      </c>
      <c r="D752">
        <v>5.7000000000000002E-2</v>
      </c>
      <c r="E752">
        <v>4.3452077703419401E-21</v>
      </c>
      <c r="F752">
        <v>1</v>
      </c>
      <c r="G752" t="s">
        <v>2251</v>
      </c>
      <c r="H752" t="s">
        <v>2252</v>
      </c>
      <c r="I752" t="s">
        <v>2251</v>
      </c>
      <c r="J752" s="1" t="str">
        <f>HYPERLINK("https://zfin.org/ZDB-GENE-031118-211")</f>
        <v>https://zfin.org/ZDB-GENE-031118-211</v>
      </c>
      <c r="K752" t="s">
        <v>2253</v>
      </c>
    </row>
    <row r="753" spans="1:11" x14ac:dyDescent="0.2">
      <c r="A753">
        <v>2.87756904884028E-25</v>
      </c>
      <c r="B753">
        <v>0.38189617514200802</v>
      </c>
      <c r="C753">
        <v>0.623</v>
      </c>
      <c r="D753">
        <v>0.16600000000000001</v>
      </c>
      <c r="E753">
        <v>4.4553401583194099E-21</v>
      </c>
      <c r="F753">
        <v>1</v>
      </c>
      <c r="G753" t="s">
        <v>2254</v>
      </c>
      <c r="H753" t="s">
        <v>2255</v>
      </c>
      <c r="I753" t="s">
        <v>2254</v>
      </c>
      <c r="J753" s="1" t="str">
        <f>HYPERLINK("https://zfin.org/ZDB-GENE-040426-2711")</f>
        <v>https://zfin.org/ZDB-GENE-040426-2711</v>
      </c>
      <c r="K753" t="s">
        <v>2256</v>
      </c>
    </row>
    <row r="754" spans="1:11" x14ac:dyDescent="0.2">
      <c r="A754">
        <v>3.0684417214693802E-25</v>
      </c>
      <c r="B754">
        <v>0.30540284094507097</v>
      </c>
      <c r="C754">
        <v>0.377</v>
      </c>
      <c r="D754">
        <v>7.0000000000000007E-2</v>
      </c>
      <c r="E754">
        <v>4.7508683173510501E-21</v>
      </c>
      <c r="F754">
        <v>1</v>
      </c>
      <c r="G754" t="s">
        <v>2257</v>
      </c>
      <c r="H754" t="s">
        <v>2258</v>
      </c>
      <c r="I754" t="s">
        <v>2257</v>
      </c>
      <c r="J754" s="1" t="str">
        <f>HYPERLINK("https://zfin.org/ZDB-GENE-030616-612")</f>
        <v>https://zfin.org/ZDB-GENE-030616-612</v>
      </c>
      <c r="K754" t="s">
        <v>2259</v>
      </c>
    </row>
    <row r="755" spans="1:11" x14ac:dyDescent="0.2">
      <c r="A755">
        <v>3.9367212380527E-25</v>
      </c>
      <c r="B755">
        <v>0.27424575674595802</v>
      </c>
      <c r="C755">
        <v>0.254</v>
      </c>
      <c r="D755">
        <v>3.3000000000000002E-2</v>
      </c>
      <c r="E755">
        <v>6.0952254928769897E-21</v>
      </c>
      <c r="F755">
        <v>1</v>
      </c>
      <c r="G755" t="s">
        <v>2260</v>
      </c>
      <c r="H755" t="s">
        <v>2261</v>
      </c>
      <c r="I755" t="s">
        <v>2260</v>
      </c>
      <c r="J755" s="1" t="str">
        <f>HYPERLINK("https://zfin.org/ZDB-GENE-070117-2066")</f>
        <v>https://zfin.org/ZDB-GENE-070117-2066</v>
      </c>
      <c r="K755" t="s">
        <v>2262</v>
      </c>
    </row>
    <row r="756" spans="1:11" x14ac:dyDescent="0.2">
      <c r="A756">
        <v>4.0899699746050699E-25</v>
      </c>
      <c r="B756">
        <v>0.51253273346947004</v>
      </c>
      <c r="C756">
        <v>0.33300000000000002</v>
      </c>
      <c r="D756">
        <v>0.06</v>
      </c>
      <c r="E756">
        <v>6.3325005116810302E-21</v>
      </c>
      <c r="F756">
        <v>1</v>
      </c>
      <c r="G756" t="s">
        <v>2263</v>
      </c>
      <c r="H756" t="s">
        <v>2264</v>
      </c>
      <c r="I756" t="s">
        <v>2263</v>
      </c>
      <c r="J756" s="1" t="str">
        <f>HYPERLINK("https://zfin.org/ZDB-GENE-040718-448")</f>
        <v>https://zfin.org/ZDB-GENE-040718-448</v>
      </c>
      <c r="K756" t="s">
        <v>2265</v>
      </c>
    </row>
    <row r="757" spans="1:11" x14ac:dyDescent="0.2">
      <c r="A757">
        <v>5.2212037683409403E-25</v>
      </c>
      <c r="B757">
        <v>0.57490101357427004</v>
      </c>
      <c r="C757">
        <v>0.70199999999999996</v>
      </c>
      <c r="D757">
        <v>0.22700000000000001</v>
      </c>
      <c r="E757">
        <v>8.0839897945222694E-21</v>
      </c>
      <c r="F757">
        <v>1</v>
      </c>
      <c r="G757" t="s">
        <v>2266</v>
      </c>
      <c r="H757" t="s">
        <v>2267</v>
      </c>
      <c r="I757" t="s">
        <v>2266</v>
      </c>
      <c r="J757" s="1" t="str">
        <f>HYPERLINK("https://zfin.org/ZDB-GENE-040426-1341")</f>
        <v>https://zfin.org/ZDB-GENE-040426-1341</v>
      </c>
      <c r="K757" t="s">
        <v>2268</v>
      </c>
    </row>
    <row r="758" spans="1:11" x14ac:dyDescent="0.2">
      <c r="A758">
        <v>6.2481603024334303E-25</v>
      </c>
      <c r="B758">
        <v>0.70175860476462504</v>
      </c>
      <c r="C758">
        <v>0.86799999999999999</v>
      </c>
      <c r="D758">
        <v>0.46700000000000003</v>
      </c>
      <c r="E758">
        <v>9.6740265962576804E-21</v>
      </c>
      <c r="F758">
        <v>1</v>
      </c>
      <c r="G758" t="s">
        <v>2269</v>
      </c>
      <c r="H758" t="s">
        <v>2270</v>
      </c>
      <c r="I758" t="s">
        <v>2269</v>
      </c>
      <c r="J758" s="1" t="str">
        <f>HYPERLINK("https://zfin.org/ZDB-GENE-050522-147")</f>
        <v>https://zfin.org/ZDB-GENE-050522-147</v>
      </c>
      <c r="K758" t="s">
        <v>2271</v>
      </c>
    </row>
    <row r="759" spans="1:11" x14ac:dyDescent="0.2">
      <c r="A759">
        <v>6.6541384512435397E-25</v>
      </c>
      <c r="B759">
        <v>-1.14241111328516</v>
      </c>
      <c r="C759">
        <v>0.72799999999999998</v>
      </c>
      <c r="D759">
        <v>0.82699999999999996</v>
      </c>
      <c r="E759">
        <v>1.0302602564060399E-20</v>
      </c>
      <c r="F759">
        <v>1</v>
      </c>
      <c r="G759" t="s">
        <v>2272</v>
      </c>
      <c r="H759" t="s">
        <v>2273</v>
      </c>
      <c r="I759" t="s">
        <v>2272</v>
      </c>
      <c r="J759" s="1" t="str">
        <f>HYPERLINK("https://zfin.org/ZDB-GENE-030131-7647")</f>
        <v>https://zfin.org/ZDB-GENE-030131-7647</v>
      </c>
      <c r="K759" t="s">
        <v>2274</v>
      </c>
    </row>
    <row r="760" spans="1:11" x14ac:dyDescent="0.2">
      <c r="A760">
        <v>8.0966208184368497E-25</v>
      </c>
      <c r="B760">
        <v>0.332455379735692</v>
      </c>
      <c r="C760">
        <v>0.28899999999999998</v>
      </c>
      <c r="D760">
        <v>4.2999999999999997E-2</v>
      </c>
      <c r="E760">
        <v>1.25359980131858E-20</v>
      </c>
      <c r="F760">
        <v>1</v>
      </c>
      <c r="G760" t="s">
        <v>2275</v>
      </c>
      <c r="H760" t="s">
        <v>2276</v>
      </c>
      <c r="I760" t="s">
        <v>2275</v>
      </c>
      <c r="J760" s="1" t="str">
        <f>HYPERLINK("https://zfin.org/ZDB-GENE-081104-299")</f>
        <v>https://zfin.org/ZDB-GENE-081104-299</v>
      </c>
      <c r="K760" t="s">
        <v>2277</v>
      </c>
    </row>
    <row r="761" spans="1:11" x14ac:dyDescent="0.2">
      <c r="A761">
        <v>8.5915959335070094E-25</v>
      </c>
      <c r="B761">
        <v>0.38021896735491501</v>
      </c>
      <c r="C761">
        <v>0.41199999999999998</v>
      </c>
      <c r="D761">
        <v>8.4000000000000005E-2</v>
      </c>
      <c r="E761">
        <v>1.33023679838489E-20</v>
      </c>
      <c r="F761">
        <v>1</v>
      </c>
      <c r="G761" t="s">
        <v>2278</v>
      </c>
      <c r="H761" t="s">
        <v>2279</v>
      </c>
      <c r="I761" t="s">
        <v>2278</v>
      </c>
      <c r="J761" s="1" t="str">
        <f>HYPERLINK("https://zfin.org/ZDB-GENE-090311-19")</f>
        <v>https://zfin.org/ZDB-GENE-090311-19</v>
      </c>
      <c r="K761" t="s">
        <v>2280</v>
      </c>
    </row>
    <row r="762" spans="1:11" x14ac:dyDescent="0.2">
      <c r="A762">
        <v>9.2353871895822206E-25</v>
      </c>
      <c r="B762">
        <v>-1.0317524685792601</v>
      </c>
      <c r="C762">
        <v>0.80700000000000005</v>
      </c>
      <c r="D762">
        <v>0.82199999999999995</v>
      </c>
      <c r="E762">
        <v>1.4299149985630101E-20</v>
      </c>
      <c r="F762">
        <v>1</v>
      </c>
      <c r="G762" t="s">
        <v>2281</v>
      </c>
      <c r="H762" t="s">
        <v>2282</v>
      </c>
      <c r="I762" t="s">
        <v>2281</v>
      </c>
      <c r="J762" s="1" t="str">
        <f>HYPERLINK("https://zfin.org/ZDB-GENE-030131-8556")</f>
        <v>https://zfin.org/ZDB-GENE-030131-8556</v>
      </c>
      <c r="K762" t="s">
        <v>2283</v>
      </c>
    </row>
    <row r="763" spans="1:11" x14ac:dyDescent="0.2">
      <c r="A763">
        <v>9.5384016026033298E-25</v>
      </c>
      <c r="B763">
        <v>0.58400028537193505</v>
      </c>
      <c r="C763">
        <v>0.71099999999999997</v>
      </c>
      <c r="D763">
        <v>0.22500000000000001</v>
      </c>
      <c r="E763">
        <v>1.4768307201310699E-20</v>
      </c>
      <c r="F763">
        <v>1</v>
      </c>
      <c r="G763" t="s">
        <v>2284</v>
      </c>
      <c r="H763" t="s">
        <v>2285</v>
      </c>
      <c r="I763" t="s">
        <v>2284</v>
      </c>
      <c r="J763" s="1" t="str">
        <f>HYPERLINK("https://zfin.org/ZDB-GENE-060312-34")</f>
        <v>https://zfin.org/ZDB-GENE-060312-34</v>
      </c>
      <c r="K763" t="s">
        <v>2286</v>
      </c>
    </row>
    <row r="764" spans="1:11" x14ac:dyDescent="0.2">
      <c r="A764">
        <v>1.22251677070773E-24</v>
      </c>
      <c r="B764">
        <v>0.536700258266397</v>
      </c>
      <c r="C764">
        <v>0.60499999999999998</v>
      </c>
      <c r="D764">
        <v>0.182</v>
      </c>
      <c r="E764">
        <v>1.8928227160867699E-20</v>
      </c>
      <c r="F764">
        <v>1</v>
      </c>
      <c r="G764" t="s">
        <v>2287</v>
      </c>
      <c r="H764" t="s">
        <v>2288</v>
      </c>
      <c r="I764" t="s">
        <v>2287</v>
      </c>
      <c r="J764" s="1" t="str">
        <f>HYPERLINK("https://zfin.org/ZDB-GENE-030131-443")</f>
        <v>https://zfin.org/ZDB-GENE-030131-443</v>
      </c>
      <c r="K764" t="s">
        <v>2289</v>
      </c>
    </row>
    <row r="765" spans="1:11" x14ac:dyDescent="0.2">
      <c r="A765">
        <v>1.47122074195488E-24</v>
      </c>
      <c r="B765">
        <v>0.65486673497022696</v>
      </c>
      <c r="C765">
        <v>0.95599999999999996</v>
      </c>
      <c r="D765">
        <v>0.56599999999999995</v>
      </c>
      <c r="E765">
        <v>2.2778910747687299E-20</v>
      </c>
      <c r="F765">
        <v>1</v>
      </c>
      <c r="G765" t="s">
        <v>2290</v>
      </c>
      <c r="H765" t="s">
        <v>2291</v>
      </c>
      <c r="I765" t="s">
        <v>2290</v>
      </c>
      <c r="J765" s="1" t="str">
        <f>HYPERLINK("https://zfin.org/ZDB-GENE-050522-133")</f>
        <v>https://zfin.org/ZDB-GENE-050522-133</v>
      </c>
      <c r="K765" t="s">
        <v>2292</v>
      </c>
    </row>
    <row r="766" spans="1:11" x14ac:dyDescent="0.2">
      <c r="A766">
        <v>1.6557829623704602E-24</v>
      </c>
      <c r="B766">
        <v>0.31319847287403302</v>
      </c>
      <c r="C766">
        <v>0.27200000000000002</v>
      </c>
      <c r="D766">
        <v>3.7999999999999999E-2</v>
      </c>
      <c r="E766">
        <v>2.5636487606381801E-20</v>
      </c>
      <c r="F766">
        <v>1</v>
      </c>
      <c r="G766" t="s">
        <v>2293</v>
      </c>
      <c r="H766" t="s">
        <v>2294</v>
      </c>
      <c r="I766" t="s">
        <v>2293</v>
      </c>
      <c r="J766" s="1" t="str">
        <f>HYPERLINK("https://zfin.org/ZDB-GENE-040718-473")</f>
        <v>https://zfin.org/ZDB-GENE-040718-473</v>
      </c>
      <c r="K766" t="s">
        <v>2295</v>
      </c>
    </row>
    <row r="767" spans="1:11" x14ac:dyDescent="0.2">
      <c r="A767">
        <v>1.7241798995108401E-24</v>
      </c>
      <c r="B767">
        <v>0.48632861712026798</v>
      </c>
      <c r="C767">
        <v>0.86799999999999999</v>
      </c>
      <c r="D767">
        <v>0.312</v>
      </c>
      <c r="E767">
        <v>2.6695477384126301E-20</v>
      </c>
      <c r="F767">
        <v>1</v>
      </c>
      <c r="G767" t="s">
        <v>2296</v>
      </c>
      <c r="H767" t="s">
        <v>2297</v>
      </c>
      <c r="I767" t="s">
        <v>2296</v>
      </c>
      <c r="J767" s="1" t="str">
        <f>HYPERLINK("https://zfin.org/ZDB-GENE-020419-23")</f>
        <v>https://zfin.org/ZDB-GENE-020419-23</v>
      </c>
      <c r="K767" t="s">
        <v>2298</v>
      </c>
    </row>
    <row r="768" spans="1:11" x14ac:dyDescent="0.2">
      <c r="A768">
        <v>1.7592244795589099E-24</v>
      </c>
      <c r="B768">
        <v>-1.0304283332130999</v>
      </c>
      <c r="C768">
        <v>0.72799999999999998</v>
      </c>
      <c r="D768">
        <v>0.81499999999999995</v>
      </c>
      <c r="E768">
        <v>2.7238072617010601E-20</v>
      </c>
      <c r="F768">
        <v>1</v>
      </c>
      <c r="G768" t="s">
        <v>2299</v>
      </c>
      <c r="H768" t="s">
        <v>2300</v>
      </c>
      <c r="I768" t="s">
        <v>2299</v>
      </c>
      <c r="J768" s="1" t="str">
        <f>HYPERLINK("https://zfin.org/ZDB-GENE-030410-4")</f>
        <v>https://zfin.org/ZDB-GENE-030410-4</v>
      </c>
      <c r="K768" t="s">
        <v>2301</v>
      </c>
    </row>
    <row r="769" spans="1:11" x14ac:dyDescent="0.2">
      <c r="A769">
        <v>1.9796366693005499E-24</v>
      </c>
      <c r="B769">
        <v>0.50861086224404894</v>
      </c>
      <c r="C769">
        <v>0.64900000000000002</v>
      </c>
      <c r="D769">
        <v>0.19700000000000001</v>
      </c>
      <c r="E769">
        <v>3.0650714550780402E-20</v>
      </c>
      <c r="F769">
        <v>1</v>
      </c>
      <c r="G769" t="s">
        <v>2302</v>
      </c>
      <c r="H769" t="s">
        <v>2303</v>
      </c>
      <c r="I769" t="s">
        <v>2302</v>
      </c>
      <c r="J769" s="1" t="str">
        <f>HYPERLINK("https://zfin.org/ZDB-GENE-040704-65")</f>
        <v>https://zfin.org/ZDB-GENE-040704-65</v>
      </c>
      <c r="K769" t="s">
        <v>2304</v>
      </c>
    </row>
    <row r="770" spans="1:11" x14ac:dyDescent="0.2">
      <c r="A770">
        <v>2.4221740824479202E-24</v>
      </c>
      <c r="B770">
        <v>-0.69232124577324305</v>
      </c>
      <c r="C770">
        <v>0.96499999999999997</v>
      </c>
      <c r="D770">
        <v>0.92300000000000004</v>
      </c>
      <c r="E770">
        <v>3.75025213185412E-20</v>
      </c>
      <c r="F770">
        <v>1</v>
      </c>
      <c r="G770" t="s">
        <v>2305</v>
      </c>
      <c r="H770" t="s">
        <v>2306</v>
      </c>
      <c r="I770" t="s">
        <v>2305</v>
      </c>
      <c r="J770" s="1" t="str">
        <f>HYPERLINK("https://zfin.org/ZDB-GENE-050320-15")</f>
        <v>https://zfin.org/ZDB-GENE-050320-15</v>
      </c>
      <c r="K770" t="s">
        <v>2307</v>
      </c>
    </row>
    <row r="771" spans="1:11" x14ac:dyDescent="0.2">
      <c r="A771">
        <v>5.1347602809240797E-24</v>
      </c>
      <c r="B771">
        <v>0.41630983014789003</v>
      </c>
      <c r="C771">
        <v>0.50900000000000001</v>
      </c>
      <c r="D771">
        <v>0.126</v>
      </c>
      <c r="E771">
        <v>7.9501493429547601E-20</v>
      </c>
      <c r="F771">
        <v>1</v>
      </c>
      <c r="G771" t="s">
        <v>2308</v>
      </c>
      <c r="H771" t="s">
        <v>2309</v>
      </c>
      <c r="I771" t="s">
        <v>2308</v>
      </c>
      <c r="J771" s="1" t="str">
        <f>HYPERLINK("https://zfin.org/ZDB-GENE-040614-2")</f>
        <v>https://zfin.org/ZDB-GENE-040614-2</v>
      </c>
      <c r="K771" t="s">
        <v>2310</v>
      </c>
    </row>
    <row r="772" spans="1:11" x14ac:dyDescent="0.2">
      <c r="A772">
        <v>7.3156181869323794E-24</v>
      </c>
      <c r="B772">
        <v>0.25177549765777402</v>
      </c>
      <c r="C772">
        <v>0.20200000000000001</v>
      </c>
      <c r="D772">
        <v>2.1000000000000001E-2</v>
      </c>
      <c r="E772">
        <v>1.1326771638827399E-19</v>
      </c>
      <c r="F772">
        <v>1</v>
      </c>
      <c r="G772" t="s">
        <v>2311</v>
      </c>
      <c r="H772" t="s">
        <v>2312</v>
      </c>
      <c r="I772" t="s">
        <v>2311</v>
      </c>
      <c r="J772" s="1" t="str">
        <f>HYPERLINK("https://zfin.org/ZDB-GENE-040426-1518")</f>
        <v>https://zfin.org/ZDB-GENE-040426-1518</v>
      </c>
      <c r="K772" t="s">
        <v>2313</v>
      </c>
    </row>
    <row r="773" spans="1:11" x14ac:dyDescent="0.2">
      <c r="A773">
        <v>8.4145261661378795E-24</v>
      </c>
      <c r="B773">
        <v>0.34535583935061898</v>
      </c>
      <c r="C773">
        <v>0.316</v>
      </c>
      <c r="D773">
        <v>5.2999999999999999E-2</v>
      </c>
      <c r="E773">
        <v>1.3028210863031301E-19</v>
      </c>
      <c r="F773">
        <v>1</v>
      </c>
      <c r="G773" t="s">
        <v>2314</v>
      </c>
      <c r="H773" t="s">
        <v>2315</v>
      </c>
      <c r="I773" t="s">
        <v>2314</v>
      </c>
      <c r="J773" s="1" t="str">
        <f>HYPERLINK("https://zfin.org/ZDB-GENE-040426-1901")</f>
        <v>https://zfin.org/ZDB-GENE-040426-1901</v>
      </c>
      <c r="K773" t="s">
        <v>2316</v>
      </c>
    </row>
    <row r="774" spans="1:11" x14ac:dyDescent="0.2">
      <c r="A774">
        <v>9.1422631524978897E-24</v>
      </c>
      <c r="B774">
        <v>0.37644683734641898</v>
      </c>
      <c r="C774">
        <v>0.36</v>
      </c>
      <c r="D774">
        <v>6.9000000000000006E-2</v>
      </c>
      <c r="E774">
        <v>1.41549660390125E-19</v>
      </c>
      <c r="F774">
        <v>1</v>
      </c>
      <c r="G774" t="s">
        <v>2317</v>
      </c>
      <c r="H774" t="s">
        <v>2318</v>
      </c>
      <c r="I774" t="s">
        <v>2317</v>
      </c>
      <c r="J774" s="1" t="str">
        <f>HYPERLINK("https://zfin.org/ZDB-GENE-040426-1162")</f>
        <v>https://zfin.org/ZDB-GENE-040426-1162</v>
      </c>
      <c r="K774" t="s">
        <v>2319</v>
      </c>
    </row>
    <row r="775" spans="1:11" x14ac:dyDescent="0.2">
      <c r="A775">
        <v>1.0097700707178901E-23</v>
      </c>
      <c r="B775">
        <v>0.27926786584754199</v>
      </c>
      <c r="C775">
        <v>0.29799999999999999</v>
      </c>
      <c r="D775">
        <v>4.7E-2</v>
      </c>
      <c r="E775">
        <v>1.5634270004925099E-19</v>
      </c>
      <c r="F775">
        <v>1</v>
      </c>
      <c r="G775" t="s">
        <v>2320</v>
      </c>
      <c r="H775" t="s">
        <v>2321</v>
      </c>
      <c r="I775" t="s">
        <v>2320</v>
      </c>
      <c r="J775" s="1" t="str">
        <f>HYPERLINK("https://zfin.org/ZDB-GENE-070112-1952")</f>
        <v>https://zfin.org/ZDB-GENE-070112-1952</v>
      </c>
      <c r="K775" t="s">
        <v>2322</v>
      </c>
    </row>
    <row r="776" spans="1:11" x14ac:dyDescent="0.2">
      <c r="A776">
        <v>1.07969149416462E-23</v>
      </c>
      <c r="B776">
        <v>0.36759657599446599</v>
      </c>
      <c r="C776">
        <v>0.21099999999999999</v>
      </c>
      <c r="D776">
        <v>2.3E-2</v>
      </c>
      <c r="E776">
        <v>1.67168634041508E-19</v>
      </c>
      <c r="F776">
        <v>1</v>
      </c>
      <c r="G776" t="s">
        <v>2323</v>
      </c>
      <c r="H776" t="s">
        <v>2324</v>
      </c>
      <c r="I776" t="s">
        <v>2323</v>
      </c>
      <c r="J776" s="1" t="str">
        <f>HYPERLINK("https://zfin.org/ZDB-GENE-050907-1")</f>
        <v>https://zfin.org/ZDB-GENE-050907-1</v>
      </c>
      <c r="K776" t="s">
        <v>2325</v>
      </c>
    </row>
    <row r="777" spans="1:11" x14ac:dyDescent="0.2">
      <c r="A777">
        <v>1.176282733084E-23</v>
      </c>
      <c r="B777">
        <v>0.29014331564679402</v>
      </c>
      <c r="C777">
        <v>0.33300000000000002</v>
      </c>
      <c r="D777">
        <v>5.8000000000000003E-2</v>
      </c>
      <c r="E777">
        <v>1.82123855563396E-19</v>
      </c>
      <c r="F777">
        <v>1</v>
      </c>
      <c r="G777" t="s">
        <v>2326</v>
      </c>
      <c r="H777" t="s">
        <v>2327</v>
      </c>
      <c r="I777" t="s">
        <v>2326</v>
      </c>
      <c r="J777" s="1" t="str">
        <f>HYPERLINK("https://zfin.org/ZDB-GENE-040115-5")</f>
        <v>https://zfin.org/ZDB-GENE-040115-5</v>
      </c>
      <c r="K777" t="s">
        <v>2328</v>
      </c>
    </row>
    <row r="778" spans="1:11" x14ac:dyDescent="0.2">
      <c r="A778">
        <v>1.24719473219489E-23</v>
      </c>
      <c r="B778">
        <v>0.29686177948253001</v>
      </c>
      <c r="C778">
        <v>0.36</v>
      </c>
      <c r="D778">
        <v>6.8000000000000005E-2</v>
      </c>
      <c r="E778">
        <v>1.9310316038573501E-19</v>
      </c>
      <c r="F778">
        <v>1</v>
      </c>
      <c r="G778" t="s">
        <v>2329</v>
      </c>
      <c r="H778" t="s">
        <v>2330</v>
      </c>
      <c r="I778" t="s">
        <v>2329</v>
      </c>
      <c r="J778" s="1" t="str">
        <f>HYPERLINK("https://zfin.org/ZDB-GENE-030131-5411")</f>
        <v>https://zfin.org/ZDB-GENE-030131-5411</v>
      </c>
      <c r="K778" t="s">
        <v>2331</v>
      </c>
    </row>
    <row r="779" spans="1:11" x14ac:dyDescent="0.2">
      <c r="A779">
        <v>1.32134927499031E-23</v>
      </c>
      <c r="B779">
        <v>-0.78642920713625797</v>
      </c>
      <c r="C779">
        <v>0.94699999999999995</v>
      </c>
      <c r="D779">
        <v>0.89</v>
      </c>
      <c r="E779">
        <v>2.0458450824674999E-19</v>
      </c>
      <c r="F779">
        <v>1</v>
      </c>
      <c r="G779" t="s">
        <v>2332</v>
      </c>
      <c r="H779" t="s">
        <v>2333</v>
      </c>
      <c r="I779" t="s">
        <v>2332</v>
      </c>
      <c r="J779" s="1" t="str">
        <f>HYPERLINK("https://zfin.org/ZDB-GENE-020419-12")</f>
        <v>https://zfin.org/ZDB-GENE-020419-12</v>
      </c>
      <c r="K779" t="s">
        <v>2334</v>
      </c>
    </row>
    <row r="780" spans="1:11" x14ac:dyDescent="0.2">
      <c r="A780">
        <v>1.3788084873392999E-23</v>
      </c>
      <c r="B780">
        <v>0.75824457641709497</v>
      </c>
      <c r="C780">
        <v>0.67500000000000004</v>
      </c>
      <c r="D780">
        <v>0.23100000000000001</v>
      </c>
      <c r="E780">
        <v>2.13480918094744E-19</v>
      </c>
      <c r="F780">
        <v>1</v>
      </c>
      <c r="G780" t="s">
        <v>2335</v>
      </c>
      <c r="H780" t="s">
        <v>2336</v>
      </c>
      <c r="I780" t="s">
        <v>2335</v>
      </c>
      <c r="J780" s="1" t="str">
        <f>HYPERLINK("https://zfin.org/ZDB-GENE-980526-280")</f>
        <v>https://zfin.org/ZDB-GENE-980526-280</v>
      </c>
      <c r="K780" t="s">
        <v>2337</v>
      </c>
    </row>
    <row r="781" spans="1:11" x14ac:dyDescent="0.2">
      <c r="A781">
        <v>1.65994184663626E-23</v>
      </c>
      <c r="B781">
        <v>0.40102202355671002</v>
      </c>
      <c r="C781">
        <v>0.66700000000000004</v>
      </c>
      <c r="D781">
        <v>0.19400000000000001</v>
      </c>
      <c r="E781">
        <v>2.5700879611469199E-19</v>
      </c>
      <c r="F781">
        <v>1</v>
      </c>
      <c r="G781" t="s">
        <v>2338</v>
      </c>
      <c r="H781" t="s">
        <v>2339</v>
      </c>
      <c r="I781" t="s">
        <v>2338</v>
      </c>
      <c r="J781" s="1" t="str">
        <f>HYPERLINK("https://zfin.org/ZDB-GENE-050522-309")</f>
        <v>https://zfin.org/ZDB-GENE-050522-309</v>
      </c>
      <c r="K781" t="s">
        <v>2340</v>
      </c>
    </row>
    <row r="782" spans="1:11" x14ac:dyDescent="0.2">
      <c r="A782">
        <v>1.92411486277959E-23</v>
      </c>
      <c r="B782">
        <v>0.55009116521729795</v>
      </c>
      <c r="C782">
        <v>0.90400000000000003</v>
      </c>
      <c r="D782">
        <v>0.39900000000000002</v>
      </c>
      <c r="E782">
        <v>2.97910704204164E-19</v>
      </c>
      <c r="F782">
        <v>1</v>
      </c>
      <c r="G782" t="s">
        <v>2341</v>
      </c>
      <c r="H782" t="s">
        <v>2342</v>
      </c>
      <c r="I782" t="s">
        <v>2341</v>
      </c>
      <c r="J782" s="1" t="str">
        <f>HYPERLINK("https://zfin.org/ZDB-GENE-141216-417")</f>
        <v>https://zfin.org/ZDB-GENE-141216-417</v>
      </c>
      <c r="K782" t="s">
        <v>2343</v>
      </c>
    </row>
    <row r="783" spans="1:11" x14ac:dyDescent="0.2">
      <c r="A783">
        <v>2.0172118628104499E-23</v>
      </c>
      <c r="B783">
        <v>0.656683411061323</v>
      </c>
      <c r="C783">
        <v>0.99099999999999999</v>
      </c>
      <c r="D783">
        <v>0.71899999999999997</v>
      </c>
      <c r="E783">
        <v>3.1232491271894199E-19</v>
      </c>
      <c r="F783">
        <v>1</v>
      </c>
      <c r="G783" t="s">
        <v>2344</v>
      </c>
      <c r="H783" t="s">
        <v>2345</v>
      </c>
      <c r="I783" t="s">
        <v>2344</v>
      </c>
      <c r="J783" s="1" t="str">
        <f>HYPERLINK("https://zfin.org/ZDB-GENE-030131-6602")</f>
        <v>https://zfin.org/ZDB-GENE-030131-6602</v>
      </c>
      <c r="K783" t="s">
        <v>2346</v>
      </c>
    </row>
    <row r="784" spans="1:11" x14ac:dyDescent="0.2">
      <c r="A784">
        <v>2.4752216902844599E-23</v>
      </c>
      <c r="B784">
        <v>0.46115645931640098</v>
      </c>
      <c r="C784">
        <v>0.59599999999999997</v>
      </c>
      <c r="D784">
        <v>0.16900000000000001</v>
      </c>
      <c r="E784">
        <v>3.8323857430674299E-19</v>
      </c>
      <c r="F784">
        <v>1</v>
      </c>
      <c r="G784" t="s">
        <v>2347</v>
      </c>
      <c r="H784" t="s">
        <v>2348</v>
      </c>
      <c r="I784" t="s">
        <v>2347</v>
      </c>
      <c r="J784" s="1" t="str">
        <f>HYPERLINK("https://zfin.org/ZDB-GENE-040426-2807")</f>
        <v>https://zfin.org/ZDB-GENE-040426-2807</v>
      </c>
      <c r="K784" t="s">
        <v>2349</v>
      </c>
    </row>
    <row r="785" spans="1:11" x14ac:dyDescent="0.2">
      <c r="A785">
        <v>2.5284479330505899E-23</v>
      </c>
      <c r="B785">
        <v>-0.62933213951588496</v>
      </c>
      <c r="C785">
        <v>0.98199999999999998</v>
      </c>
      <c r="D785">
        <v>0.95399999999999996</v>
      </c>
      <c r="E785">
        <v>3.9147959347422199E-19</v>
      </c>
      <c r="F785">
        <v>1</v>
      </c>
      <c r="G785" t="s">
        <v>2350</v>
      </c>
      <c r="H785" t="s">
        <v>2351</v>
      </c>
      <c r="I785" t="s">
        <v>2350</v>
      </c>
      <c r="J785" s="1" t="str">
        <f>HYPERLINK("https://zfin.org/ZDB-GENE-040426-2290")</f>
        <v>https://zfin.org/ZDB-GENE-040426-2290</v>
      </c>
      <c r="K785" t="s">
        <v>2352</v>
      </c>
    </row>
    <row r="786" spans="1:11" x14ac:dyDescent="0.2">
      <c r="A786">
        <v>2.9077451000085003E-23</v>
      </c>
      <c r="B786">
        <v>0.255410368757509</v>
      </c>
      <c r="C786">
        <v>0.219</v>
      </c>
      <c r="D786">
        <v>2.5999999999999999E-2</v>
      </c>
      <c r="E786">
        <v>4.5020617383431504E-19</v>
      </c>
      <c r="F786">
        <v>1</v>
      </c>
      <c r="G786" t="s">
        <v>2353</v>
      </c>
      <c r="H786" t="s">
        <v>2354</v>
      </c>
      <c r="I786" t="s">
        <v>2353</v>
      </c>
      <c r="J786" s="1" t="str">
        <f>HYPERLINK("https://zfin.org/ZDB-GENE-051113-120")</f>
        <v>https://zfin.org/ZDB-GENE-051113-120</v>
      </c>
      <c r="K786" t="s">
        <v>2355</v>
      </c>
    </row>
    <row r="787" spans="1:11" x14ac:dyDescent="0.2">
      <c r="A787">
        <v>3.3493022520388198E-23</v>
      </c>
      <c r="B787">
        <v>0.37659910421885001</v>
      </c>
      <c r="C787">
        <v>0.60499999999999998</v>
      </c>
      <c r="D787">
        <v>0.16600000000000001</v>
      </c>
      <c r="E787">
        <v>5.1857246768317E-19</v>
      </c>
      <c r="F787">
        <v>1</v>
      </c>
      <c r="G787" t="s">
        <v>2356</v>
      </c>
      <c r="H787" t="s">
        <v>2357</v>
      </c>
      <c r="I787" t="s">
        <v>2356</v>
      </c>
      <c r="J787" s="1" t="str">
        <f>HYPERLINK("https://zfin.org/ZDB-GENE-040718-462")</f>
        <v>https://zfin.org/ZDB-GENE-040718-462</v>
      </c>
      <c r="K787" t="s">
        <v>2358</v>
      </c>
    </row>
    <row r="788" spans="1:11" x14ac:dyDescent="0.2">
      <c r="A788">
        <v>5.2913284531478199E-23</v>
      </c>
      <c r="B788">
        <v>0.48015434957789699</v>
      </c>
      <c r="C788">
        <v>0.44700000000000001</v>
      </c>
      <c r="D788">
        <v>0.107</v>
      </c>
      <c r="E788">
        <v>8.1925638440087704E-19</v>
      </c>
      <c r="F788">
        <v>1</v>
      </c>
      <c r="G788" t="s">
        <v>2359</v>
      </c>
      <c r="H788" t="s">
        <v>2360</v>
      </c>
      <c r="I788" t="s">
        <v>2359</v>
      </c>
      <c r="J788" s="1" t="str">
        <f>HYPERLINK("https://zfin.org/ZDB-GENE-041114-168")</f>
        <v>https://zfin.org/ZDB-GENE-041114-168</v>
      </c>
      <c r="K788" t="s">
        <v>2361</v>
      </c>
    </row>
    <row r="789" spans="1:11" x14ac:dyDescent="0.2">
      <c r="A789">
        <v>5.4584721285006402E-23</v>
      </c>
      <c r="B789">
        <v>0.25148262928566301</v>
      </c>
      <c r="C789">
        <v>0.28100000000000003</v>
      </c>
      <c r="D789">
        <v>4.2999999999999997E-2</v>
      </c>
      <c r="E789">
        <v>8.4513523965575397E-19</v>
      </c>
      <c r="F789">
        <v>1</v>
      </c>
      <c r="G789" t="s">
        <v>2362</v>
      </c>
      <c r="H789" t="s">
        <v>2363</v>
      </c>
      <c r="I789" t="s">
        <v>2362</v>
      </c>
      <c r="J789" s="1" t="str">
        <f>HYPERLINK("https://zfin.org/ZDB-GENE-040426-727")</f>
        <v>https://zfin.org/ZDB-GENE-040426-727</v>
      </c>
      <c r="K789" t="s">
        <v>2364</v>
      </c>
    </row>
    <row r="790" spans="1:11" x14ac:dyDescent="0.2">
      <c r="A790">
        <v>5.5571666913021894E-23</v>
      </c>
      <c r="B790">
        <v>-0.82684752036624098</v>
      </c>
      <c r="C790">
        <v>0.90400000000000003</v>
      </c>
      <c r="D790">
        <v>0.84599999999999997</v>
      </c>
      <c r="E790">
        <v>8.6041611881431899E-19</v>
      </c>
      <c r="F790">
        <v>1</v>
      </c>
      <c r="G790" t="s">
        <v>2365</v>
      </c>
      <c r="H790" t="s">
        <v>2366</v>
      </c>
      <c r="I790" t="s">
        <v>2365</v>
      </c>
      <c r="J790" s="1" t="str">
        <f>HYPERLINK("https://zfin.org/ZDB-GENE-030131-8606")</f>
        <v>https://zfin.org/ZDB-GENE-030131-8606</v>
      </c>
      <c r="K790" t="s">
        <v>2367</v>
      </c>
    </row>
    <row r="791" spans="1:11" x14ac:dyDescent="0.2">
      <c r="A791">
        <v>5.9766498503914601E-23</v>
      </c>
      <c r="B791">
        <v>0.27499469868781001</v>
      </c>
      <c r="C791">
        <v>0.316</v>
      </c>
      <c r="D791">
        <v>5.3999999999999999E-2</v>
      </c>
      <c r="E791">
        <v>9.2536469633611006E-19</v>
      </c>
      <c r="F791">
        <v>1</v>
      </c>
      <c r="G791" t="s">
        <v>2368</v>
      </c>
      <c r="H791" t="s">
        <v>2369</v>
      </c>
      <c r="I791" t="s">
        <v>2368</v>
      </c>
      <c r="J791" s="1" t="str">
        <f>HYPERLINK("https://zfin.org/ZDB-GENE-041114-141")</f>
        <v>https://zfin.org/ZDB-GENE-041114-141</v>
      </c>
      <c r="K791" t="s">
        <v>2370</v>
      </c>
    </row>
    <row r="792" spans="1:11" x14ac:dyDescent="0.2">
      <c r="A792">
        <v>6.5086294347773496E-23</v>
      </c>
      <c r="B792">
        <v>0.25620404621373499</v>
      </c>
      <c r="C792">
        <v>0.27200000000000002</v>
      </c>
      <c r="D792">
        <v>4.1000000000000002E-2</v>
      </c>
      <c r="E792">
        <v>1.00773109538658E-18</v>
      </c>
      <c r="F792">
        <v>1</v>
      </c>
      <c r="G792" t="s">
        <v>2371</v>
      </c>
      <c r="H792" t="s">
        <v>2372</v>
      </c>
      <c r="I792" t="s">
        <v>2371</v>
      </c>
      <c r="J792" s="1" t="str">
        <f>HYPERLINK("https://zfin.org/ZDB-GENE-040822-29")</f>
        <v>https://zfin.org/ZDB-GENE-040822-29</v>
      </c>
      <c r="K792" t="s">
        <v>2373</v>
      </c>
    </row>
    <row r="793" spans="1:11" x14ac:dyDescent="0.2">
      <c r="A793">
        <v>6.8367404274216101E-23</v>
      </c>
      <c r="B793">
        <v>-1.2775399325318499</v>
      </c>
      <c r="C793">
        <v>0.35099999999999998</v>
      </c>
      <c r="D793">
        <v>0.68200000000000005</v>
      </c>
      <c r="E793">
        <v>1.05853252037769E-18</v>
      </c>
      <c r="F793">
        <v>1</v>
      </c>
      <c r="G793" t="s">
        <v>2374</v>
      </c>
      <c r="H793" t="s">
        <v>2375</v>
      </c>
      <c r="I793" t="s">
        <v>2374</v>
      </c>
      <c r="J793" s="1" t="str">
        <f>HYPERLINK("https://zfin.org/ZDB-GENE-040426-2770")</f>
        <v>https://zfin.org/ZDB-GENE-040426-2770</v>
      </c>
      <c r="K793" t="s">
        <v>2376</v>
      </c>
    </row>
    <row r="794" spans="1:11" x14ac:dyDescent="0.2">
      <c r="A794">
        <v>7.4732945764579302E-23</v>
      </c>
      <c r="B794">
        <v>0.50461408276251796</v>
      </c>
      <c r="C794">
        <v>0.91200000000000003</v>
      </c>
      <c r="D794">
        <v>0.35799999999999998</v>
      </c>
      <c r="E794">
        <v>1.15709019927298E-18</v>
      </c>
      <c r="F794">
        <v>1</v>
      </c>
      <c r="G794" t="s">
        <v>2377</v>
      </c>
      <c r="H794" t="s">
        <v>2378</v>
      </c>
      <c r="I794" t="s">
        <v>2377</v>
      </c>
      <c r="J794" s="1" t="str">
        <f>HYPERLINK("https://zfin.org/ZDB-GENE-040204-1")</f>
        <v>https://zfin.org/ZDB-GENE-040204-1</v>
      </c>
      <c r="K794" t="s">
        <v>2379</v>
      </c>
    </row>
    <row r="795" spans="1:11" x14ac:dyDescent="0.2">
      <c r="A795">
        <v>7.6132261671918597E-23</v>
      </c>
      <c r="B795">
        <v>0.34736850005596698</v>
      </c>
      <c r="C795">
        <v>0.52600000000000002</v>
      </c>
      <c r="D795">
        <v>0.13400000000000001</v>
      </c>
      <c r="E795">
        <v>1.1787558074663199E-18</v>
      </c>
      <c r="F795">
        <v>1</v>
      </c>
      <c r="G795" t="s">
        <v>2380</v>
      </c>
      <c r="H795" t="s">
        <v>2381</v>
      </c>
      <c r="I795" t="s">
        <v>2380</v>
      </c>
      <c r="J795" s="1" t="str">
        <f>HYPERLINK("https://zfin.org/ZDB-GENE-030131-7696")</f>
        <v>https://zfin.org/ZDB-GENE-030131-7696</v>
      </c>
      <c r="K795" t="s">
        <v>2382</v>
      </c>
    </row>
    <row r="796" spans="1:11" x14ac:dyDescent="0.2">
      <c r="A796">
        <v>7.6662818399235903E-23</v>
      </c>
      <c r="B796">
        <v>0.25747831553147099</v>
      </c>
      <c r="C796">
        <v>0.28899999999999998</v>
      </c>
      <c r="D796">
        <v>4.4999999999999998E-2</v>
      </c>
      <c r="E796">
        <v>1.18697041727537E-18</v>
      </c>
      <c r="F796">
        <v>1</v>
      </c>
      <c r="G796" t="s">
        <v>2383</v>
      </c>
      <c r="H796" t="s">
        <v>2384</v>
      </c>
      <c r="I796" t="s">
        <v>2383</v>
      </c>
      <c r="J796" s="1" t="str">
        <f>HYPERLINK("https://zfin.org/")</f>
        <v>https://zfin.org/</v>
      </c>
      <c r="K796" t="s">
        <v>2385</v>
      </c>
    </row>
    <row r="797" spans="1:11" x14ac:dyDescent="0.2">
      <c r="A797">
        <v>8.2886049063976302E-23</v>
      </c>
      <c r="B797">
        <v>-1.36105224704685</v>
      </c>
      <c r="C797">
        <v>0.377</v>
      </c>
      <c r="D797">
        <v>0.68899999999999995</v>
      </c>
      <c r="E797">
        <v>1.2833246976575399E-18</v>
      </c>
      <c r="F797">
        <v>1</v>
      </c>
      <c r="G797" t="s">
        <v>2386</v>
      </c>
      <c r="H797" t="s">
        <v>2387</v>
      </c>
      <c r="I797" t="s">
        <v>2386</v>
      </c>
      <c r="J797" s="1" t="str">
        <f>HYPERLINK("https://zfin.org/ZDB-GENE-030131-2524")</f>
        <v>https://zfin.org/ZDB-GENE-030131-2524</v>
      </c>
      <c r="K797" t="s">
        <v>2388</v>
      </c>
    </row>
    <row r="798" spans="1:11" x14ac:dyDescent="0.2">
      <c r="A798">
        <v>1.1281778356827199E-22</v>
      </c>
      <c r="B798">
        <v>-1.53831579134976</v>
      </c>
      <c r="C798">
        <v>0.28899999999999998</v>
      </c>
      <c r="D798">
        <v>0.66300000000000003</v>
      </c>
      <c r="E798">
        <v>1.7467577429875501E-18</v>
      </c>
      <c r="F798">
        <v>1</v>
      </c>
      <c r="G798" t="s">
        <v>2389</v>
      </c>
      <c r="H798" t="s">
        <v>2390</v>
      </c>
      <c r="I798" t="s">
        <v>2389</v>
      </c>
      <c r="J798" s="1" t="str">
        <f>HYPERLINK("https://zfin.org/ZDB-GENE-050308-1")</f>
        <v>https://zfin.org/ZDB-GENE-050308-1</v>
      </c>
      <c r="K798" t="s">
        <v>2391</v>
      </c>
    </row>
    <row r="799" spans="1:11" x14ac:dyDescent="0.2">
      <c r="A799">
        <v>1.1543421616396399E-22</v>
      </c>
      <c r="B799">
        <v>0.50273245582533899</v>
      </c>
      <c r="C799">
        <v>0.89500000000000002</v>
      </c>
      <c r="D799">
        <v>0.34699999999999998</v>
      </c>
      <c r="E799">
        <v>1.7872679688666598E-18</v>
      </c>
      <c r="F799">
        <v>1</v>
      </c>
      <c r="G799" t="s">
        <v>2392</v>
      </c>
      <c r="H799" t="s">
        <v>2393</v>
      </c>
      <c r="I799" t="s">
        <v>2392</v>
      </c>
      <c r="J799" s="1" t="str">
        <f>HYPERLINK("https://zfin.org/")</f>
        <v>https://zfin.org/</v>
      </c>
      <c r="K799" t="s">
        <v>2394</v>
      </c>
    </row>
    <row r="800" spans="1:11" x14ac:dyDescent="0.2">
      <c r="A800">
        <v>1.3153499181924999E-22</v>
      </c>
      <c r="B800">
        <v>-1.3628327497153301</v>
      </c>
      <c r="C800">
        <v>0.114</v>
      </c>
      <c r="D800">
        <v>0.58399999999999996</v>
      </c>
      <c r="E800">
        <v>2.03655627833744E-18</v>
      </c>
      <c r="F800">
        <v>1</v>
      </c>
      <c r="G800" t="s">
        <v>2395</v>
      </c>
      <c r="H800" t="s">
        <v>2396</v>
      </c>
      <c r="I800" t="s">
        <v>2395</v>
      </c>
      <c r="J800" s="1" t="str">
        <f>HYPERLINK("https://zfin.org/ZDB-GENE-990415-229")</f>
        <v>https://zfin.org/ZDB-GENE-990415-229</v>
      </c>
      <c r="K800" t="s">
        <v>2397</v>
      </c>
    </row>
    <row r="801" spans="1:11" x14ac:dyDescent="0.2">
      <c r="A801">
        <v>1.3790188362120601E-22</v>
      </c>
      <c r="B801">
        <v>0.34075800940102502</v>
      </c>
      <c r="C801">
        <v>0.47399999999999998</v>
      </c>
      <c r="D801">
        <v>0.113</v>
      </c>
      <c r="E801">
        <v>2.1351348641071201E-18</v>
      </c>
      <c r="F801">
        <v>1</v>
      </c>
      <c r="G801" t="s">
        <v>2398</v>
      </c>
      <c r="H801" t="s">
        <v>2399</v>
      </c>
      <c r="I801" t="s">
        <v>2398</v>
      </c>
      <c r="J801" s="1" t="str">
        <f>HYPERLINK("https://zfin.org/ZDB-GENE-030826-29")</f>
        <v>https://zfin.org/ZDB-GENE-030826-29</v>
      </c>
      <c r="K801" t="s">
        <v>2400</v>
      </c>
    </row>
    <row r="802" spans="1:11" x14ac:dyDescent="0.2">
      <c r="A802">
        <v>1.5099504846323499E-22</v>
      </c>
      <c r="B802">
        <v>-1.35877635093689</v>
      </c>
      <c r="C802">
        <v>0.316</v>
      </c>
      <c r="D802">
        <v>0.66800000000000004</v>
      </c>
      <c r="E802">
        <v>2.3378563353562601E-18</v>
      </c>
      <c r="F802">
        <v>1</v>
      </c>
      <c r="G802" t="s">
        <v>2401</v>
      </c>
      <c r="H802" t="s">
        <v>2402</v>
      </c>
      <c r="I802" t="s">
        <v>2401</v>
      </c>
      <c r="J802" s="1" t="str">
        <f>HYPERLINK("https://zfin.org/ZDB-GENE-071205-8")</f>
        <v>https://zfin.org/ZDB-GENE-071205-8</v>
      </c>
      <c r="K802" t="s">
        <v>2403</v>
      </c>
    </row>
    <row r="803" spans="1:11" x14ac:dyDescent="0.2">
      <c r="A803">
        <v>2.3276048173507001E-22</v>
      </c>
      <c r="B803">
        <v>0.37184067277337401</v>
      </c>
      <c r="C803">
        <v>0.40400000000000003</v>
      </c>
      <c r="D803">
        <v>8.7999999999999995E-2</v>
      </c>
      <c r="E803">
        <v>3.6038305387040904E-18</v>
      </c>
      <c r="F803">
        <v>1</v>
      </c>
      <c r="G803" t="s">
        <v>2404</v>
      </c>
      <c r="H803" t="s">
        <v>2405</v>
      </c>
      <c r="I803" t="s">
        <v>2404</v>
      </c>
      <c r="J803" s="1" t="str">
        <f>HYPERLINK("https://zfin.org/ZDB-GENE-030131-6911")</f>
        <v>https://zfin.org/ZDB-GENE-030131-6911</v>
      </c>
      <c r="K803" t="s">
        <v>2406</v>
      </c>
    </row>
    <row r="804" spans="1:11" x14ac:dyDescent="0.2">
      <c r="A804">
        <v>2.5107694833841102E-22</v>
      </c>
      <c r="B804">
        <v>0.51449132397208197</v>
      </c>
      <c r="C804">
        <v>0.85099999999999998</v>
      </c>
      <c r="D804">
        <v>0.33400000000000002</v>
      </c>
      <c r="E804">
        <v>3.8874243911236198E-18</v>
      </c>
      <c r="F804">
        <v>1</v>
      </c>
      <c r="G804" t="s">
        <v>2407</v>
      </c>
      <c r="H804" t="s">
        <v>2408</v>
      </c>
      <c r="I804" t="s">
        <v>2407</v>
      </c>
      <c r="J804" s="1" t="str">
        <f>HYPERLINK("https://zfin.org/ZDB-GENE-040426-1631")</f>
        <v>https://zfin.org/ZDB-GENE-040426-1631</v>
      </c>
      <c r="K804" t="s">
        <v>2409</v>
      </c>
    </row>
    <row r="805" spans="1:11" x14ac:dyDescent="0.2">
      <c r="A805">
        <v>3.29386097394017E-22</v>
      </c>
      <c r="B805">
        <v>0.42418018341212099</v>
      </c>
      <c r="C805">
        <v>0.39500000000000002</v>
      </c>
      <c r="D805">
        <v>8.6999999999999994E-2</v>
      </c>
      <c r="E805">
        <v>5.09988494595157E-18</v>
      </c>
      <c r="F805">
        <v>1</v>
      </c>
      <c r="G805" t="s">
        <v>2410</v>
      </c>
      <c r="H805" t="s">
        <v>2411</v>
      </c>
      <c r="I805" t="s">
        <v>2410</v>
      </c>
      <c r="J805" s="1" t="str">
        <f>HYPERLINK("https://zfin.org/ZDB-GENE-031222-5")</f>
        <v>https://zfin.org/ZDB-GENE-031222-5</v>
      </c>
      <c r="K805" t="s">
        <v>2412</v>
      </c>
    </row>
    <row r="806" spans="1:11" x14ac:dyDescent="0.2">
      <c r="A806">
        <v>3.29586740306064E-22</v>
      </c>
      <c r="B806">
        <v>0.45182873008770202</v>
      </c>
      <c r="C806">
        <v>0.73699999999999999</v>
      </c>
      <c r="D806">
        <v>0.251</v>
      </c>
      <c r="E806">
        <v>5.1029915001587799E-18</v>
      </c>
      <c r="F806">
        <v>1</v>
      </c>
      <c r="G806" t="s">
        <v>2413</v>
      </c>
      <c r="H806" t="s">
        <v>2414</v>
      </c>
      <c r="I806" t="s">
        <v>2413</v>
      </c>
      <c r="J806" s="1" t="str">
        <f>HYPERLINK("https://zfin.org/ZDB-GENE-030131-2459")</f>
        <v>https://zfin.org/ZDB-GENE-030131-2459</v>
      </c>
      <c r="K806" t="s">
        <v>2415</v>
      </c>
    </row>
    <row r="807" spans="1:11" x14ac:dyDescent="0.2">
      <c r="A807">
        <v>3.5689853115060402E-22</v>
      </c>
      <c r="B807">
        <v>0.31313705597242802</v>
      </c>
      <c r="C807">
        <v>0.307</v>
      </c>
      <c r="D807">
        <v>5.3999999999999999E-2</v>
      </c>
      <c r="E807">
        <v>5.5258599578048003E-18</v>
      </c>
      <c r="F807">
        <v>1</v>
      </c>
      <c r="G807" t="s">
        <v>2416</v>
      </c>
      <c r="H807" t="s">
        <v>2417</v>
      </c>
      <c r="I807" t="s">
        <v>2416</v>
      </c>
      <c r="J807" s="1" t="str">
        <f>HYPERLINK("https://zfin.org/ZDB-GENE-040704-6")</f>
        <v>https://zfin.org/ZDB-GENE-040704-6</v>
      </c>
      <c r="K807" t="s">
        <v>2418</v>
      </c>
    </row>
    <row r="808" spans="1:11" x14ac:dyDescent="0.2">
      <c r="A808">
        <v>4.04389099901229E-22</v>
      </c>
      <c r="B808">
        <v>0.31701471706642398</v>
      </c>
      <c r="C808">
        <v>0.34200000000000003</v>
      </c>
      <c r="D808">
        <v>6.6000000000000003E-2</v>
      </c>
      <c r="E808">
        <v>6.2611564337707196E-18</v>
      </c>
      <c r="F808">
        <v>1</v>
      </c>
      <c r="G808" t="s">
        <v>2419</v>
      </c>
      <c r="H808" t="s">
        <v>2420</v>
      </c>
      <c r="I808" t="s">
        <v>2419</v>
      </c>
      <c r="J808" s="1" t="str">
        <f>HYPERLINK("https://zfin.org/ZDB-GENE-090313-68")</f>
        <v>https://zfin.org/ZDB-GENE-090313-68</v>
      </c>
      <c r="K808" t="s">
        <v>2421</v>
      </c>
    </row>
    <row r="809" spans="1:11" x14ac:dyDescent="0.2">
      <c r="A809">
        <v>4.4412955174405599E-22</v>
      </c>
      <c r="B809">
        <v>0.54976533032589103</v>
      </c>
      <c r="C809">
        <v>0.79800000000000004</v>
      </c>
      <c r="D809">
        <v>0.29699999999999999</v>
      </c>
      <c r="E809">
        <v>6.8764578496532304E-18</v>
      </c>
      <c r="F809">
        <v>1</v>
      </c>
      <c r="G809" t="s">
        <v>2422</v>
      </c>
      <c r="H809" t="s">
        <v>2423</v>
      </c>
      <c r="I809" t="s">
        <v>2422</v>
      </c>
      <c r="J809" s="1" t="str">
        <f>HYPERLINK("https://zfin.org/ZDB-GENE-040912-91")</f>
        <v>https://zfin.org/ZDB-GENE-040912-91</v>
      </c>
      <c r="K809" t="s">
        <v>2424</v>
      </c>
    </row>
    <row r="810" spans="1:11" x14ac:dyDescent="0.2">
      <c r="A810">
        <v>4.7445122027771199E-22</v>
      </c>
      <c r="B810">
        <v>-0.80299625899950999</v>
      </c>
      <c r="C810">
        <v>0.88600000000000001</v>
      </c>
      <c r="D810">
        <v>0.89600000000000002</v>
      </c>
      <c r="E810">
        <v>7.3459282435598205E-18</v>
      </c>
      <c r="F810">
        <v>1</v>
      </c>
      <c r="G810" t="s">
        <v>2425</v>
      </c>
      <c r="H810" t="s">
        <v>2426</v>
      </c>
      <c r="I810" t="s">
        <v>2425</v>
      </c>
      <c r="J810" s="1" t="str">
        <f>HYPERLINK("https://zfin.org/ZDB-GENE-990712-18")</f>
        <v>https://zfin.org/ZDB-GENE-990712-18</v>
      </c>
      <c r="K810" t="s">
        <v>2427</v>
      </c>
    </row>
    <row r="811" spans="1:11" x14ac:dyDescent="0.2">
      <c r="A811">
        <v>6.6328888140961299E-22</v>
      </c>
      <c r="B811">
        <v>-2.3332702328306998</v>
      </c>
      <c r="C811">
        <v>0.53500000000000003</v>
      </c>
      <c r="D811">
        <v>0.72399999999999998</v>
      </c>
      <c r="E811">
        <v>1.0269701750865E-17</v>
      </c>
      <c r="F811">
        <v>1</v>
      </c>
      <c r="G811" t="s">
        <v>2428</v>
      </c>
      <c r="H811" t="s">
        <v>2429</v>
      </c>
      <c r="I811" t="s">
        <v>2428</v>
      </c>
      <c r="J811" s="1" t="str">
        <f>HYPERLINK("https://zfin.org/ZDB-GENE-111109-2")</f>
        <v>https://zfin.org/ZDB-GENE-111109-2</v>
      </c>
      <c r="K811" t="s">
        <v>2430</v>
      </c>
    </row>
    <row r="812" spans="1:11" x14ac:dyDescent="0.2">
      <c r="A812">
        <v>6.9484818682493697E-22</v>
      </c>
      <c r="B812">
        <v>-1.6596889113209601</v>
      </c>
      <c r="C812">
        <v>0.47399999999999998</v>
      </c>
      <c r="D812">
        <v>0.71699999999999997</v>
      </c>
      <c r="E812">
        <v>1.0758334476610501E-17</v>
      </c>
      <c r="F812">
        <v>1</v>
      </c>
      <c r="G812" t="s">
        <v>2431</v>
      </c>
      <c r="H812" t="s">
        <v>2432</v>
      </c>
      <c r="I812" t="s">
        <v>2431</v>
      </c>
      <c r="J812" s="1" t="str">
        <f>HYPERLINK("https://zfin.org/ZDB-GENE-990715-6")</f>
        <v>https://zfin.org/ZDB-GENE-990715-6</v>
      </c>
      <c r="K812" t="s">
        <v>2433</v>
      </c>
    </row>
    <row r="813" spans="1:11" x14ac:dyDescent="0.2">
      <c r="A813">
        <v>7.82242823572767E-22</v>
      </c>
      <c r="B813">
        <v>0.48564321001764799</v>
      </c>
      <c r="C813">
        <v>1</v>
      </c>
      <c r="D813">
        <v>0.96799999999999997</v>
      </c>
      <c r="E813">
        <v>1.21114656373771E-17</v>
      </c>
      <c r="F813">
        <v>1</v>
      </c>
      <c r="G813" t="s">
        <v>2434</v>
      </c>
      <c r="H813" t="s">
        <v>2435</v>
      </c>
      <c r="I813" t="s">
        <v>2434</v>
      </c>
      <c r="J813" s="1" t="str">
        <f>HYPERLINK("https://zfin.org/ZDB-GENE-030131-9744")</f>
        <v>https://zfin.org/ZDB-GENE-030131-9744</v>
      </c>
      <c r="K813" t="s">
        <v>2436</v>
      </c>
    </row>
    <row r="814" spans="1:11" x14ac:dyDescent="0.2">
      <c r="A814">
        <v>1.1473794144527E-21</v>
      </c>
      <c r="B814">
        <v>0.32973789808545001</v>
      </c>
      <c r="C814">
        <v>0.67500000000000004</v>
      </c>
      <c r="D814">
        <v>0.2</v>
      </c>
      <c r="E814">
        <v>1.7764875473971201E-17</v>
      </c>
      <c r="F814">
        <v>1</v>
      </c>
      <c r="G814" t="s">
        <v>2437</v>
      </c>
      <c r="H814" t="s">
        <v>2438</v>
      </c>
      <c r="I814" t="s">
        <v>2437</v>
      </c>
      <c r="J814" s="1" t="str">
        <f>HYPERLINK("https://zfin.org/ZDB-GENE-040426-2860")</f>
        <v>https://zfin.org/ZDB-GENE-040426-2860</v>
      </c>
      <c r="K814" t="s">
        <v>2439</v>
      </c>
    </row>
    <row r="815" spans="1:11" x14ac:dyDescent="0.2">
      <c r="A815">
        <v>1.2657926629145501E-21</v>
      </c>
      <c r="B815">
        <v>0.32419055991772799</v>
      </c>
      <c r="C815">
        <v>0.43</v>
      </c>
      <c r="D815">
        <v>0.1</v>
      </c>
      <c r="E815">
        <v>1.9598267799906099E-17</v>
      </c>
      <c r="F815">
        <v>1</v>
      </c>
      <c r="G815" t="s">
        <v>2440</v>
      </c>
      <c r="H815" t="s">
        <v>2441</v>
      </c>
      <c r="I815" t="s">
        <v>2440</v>
      </c>
      <c r="J815" s="1" t="str">
        <f>HYPERLINK("https://zfin.org/ZDB-GENE-050522-394")</f>
        <v>https://zfin.org/ZDB-GENE-050522-394</v>
      </c>
      <c r="K815" t="s">
        <v>2442</v>
      </c>
    </row>
    <row r="816" spans="1:11" x14ac:dyDescent="0.2">
      <c r="A816">
        <v>1.3325405401119001E-21</v>
      </c>
      <c r="B816">
        <v>0.55613118780134496</v>
      </c>
      <c r="C816">
        <v>0.77200000000000002</v>
      </c>
      <c r="D816">
        <v>0.3</v>
      </c>
      <c r="E816">
        <v>2.06317251825526E-17</v>
      </c>
      <c r="F816">
        <v>1</v>
      </c>
      <c r="G816" t="s">
        <v>2443</v>
      </c>
      <c r="H816" t="s">
        <v>2444</v>
      </c>
      <c r="I816" t="s">
        <v>2443</v>
      </c>
      <c r="J816" s="1" t="str">
        <f>HYPERLINK("https://zfin.org/ZDB-GENE-050522-159")</f>
        <v>https://zfin.org/ZDB-GENE-050522-159</v>
      </c>
      <c r="K816" t="s">
        <v>2445</v>
      </c>
    </row>
    <row r="817" spans="1:11" x14ac:dyDescent="0.2">
      <c r="A817">
        <v>1.40766949636581E-21</v>
      </c>
      <c r="B817">
        <v>-1.46287835775138</v>
      </c>
      <c r="C817">
        <v>0.254</v>
      </c>
      <c r="D817">
        <v>0.628</v>
      </c>
      <c r="E817">
        <v>2.1794946812231899E-17</v>
      </c>
      <c r="F817">
        <v>1</v>
      </c>
      <c r="G817" t="s">
        <v>2446</v>
      </c>
      <c r="H817" t="s">
        <v>2447</v>
      </c>
      <c r="I817" t="s">
        <v>2446</v>
      </c>
      <c r="J817" s="1" t="str">
        <f>HYPERLINK("https://zfin.org/ZDB-GENE-030131-4678")</f>
        <v>https://zfin.org/ZDB-GENE-030131-4678</v>
      </c>
      <c r="K817" t="s">
        <v>2448</v>
      </c>
    </row>
    <row r="818" spans="1:11" x14ac:dyDescent="0.2">
      <c r="A818">
        <v>1.4283582091898899E-21</v>
      </c>
      <c r="B818">
        <v>0.36849475383017799</v>
      </c>
      <c r="C818">
        <v>0.5</v>
      </c>
      <c r="D818">
        <v>0.129</v>
      </c>
      <c r="E818">
        <v>2.2115270152887099E-17</v>
      </c>
      <c r="F818">
        <v>1</v>
      </c>
      <c r="G818" t="s">
        <v>2449</v>
      </c>
      <c r="H818" t="s">
        <v>2450</v>
      </c>
      <c r="I818" t="s">
        <v>2449</v>
      </c>
      <c r="J818" s="1" t="str">
        <f>HYPERLINK("https://zfin.org/ZDB-GENE-020416-4")</f>
        <v>https://zfin.org/ZDB-GENE-020416-4</v>
      </c>
      <c r="K818" t="s">
        <v>2451</v>
      </c>
    </row>
    <row r="819" spans="1:11" x14ac:dyDescent="0.2">
      <c r="A819">
        <v>1.5167694673987099E-21</v>
      </c>
      <c r="B819">
        <v>0.27652307358273998</v>
      </c>
      <c r="C819">
        <v>0.20200000000000001</v>
      </c>
      <c r="D819">
        <v>2.4E-2</v>
      </c>
      <c r="E819">
        <v>2.3484141663734201E-17</v>
      </c>
      <c r="F819">
        <v>1</v>
      </c>
      <c r="G819" t="s">
        <v>2452</v>
      </c>
      <c r="H819" t="s">
        <v>2453</v>
      </c>
      <c r="I819" t="s">
        <v>2452</v>
      </c>
      <c r="J819" s="1" t="str">
        <f>HYPERLINK("https://zfin.org/ZDB-GENE-050522-272")</f>
        <v>https://zfin.org/ZDB-GENE-050522-272</v>
      </c>
      <c r="K819" t="s">
        <v>2454</v>
      </c>
    </row>
    <row r="820" spans="1:11" x14ac:dyDescent="0.2">
      <c r="A820">
        <v>1.8583548373726302E-21</v>
      </c>
      <c r="B820">
        <v>0.47332304897039801</v>
      </c>
      <c r="C820">
        <v>0.78900000000000003</v>
      </c>
      <c r="D820">
        <v>0.28899999999999998</v>
      </c>
      <c r="E820">
        <v>2.8772907947040397E-17</v>
      </c>
      <c r="F820">
        <v>1</v>
      </c>
      <c r="G820" t="s">
        <v>2455</v>
      </c>
      <c r="H820" t="s">
        <v>2456</v>
      </c>
      <c r="I820" t="s">
        <v>2455</v>
      </c>
      <c r="J820" s="1" t="str">
        <f>HYPERLINK("https://zfin.org/ZDB-GENE-050522-273")</f>
        <v>https://zfin.org/ZDB-GENE-050522-273</v>
      </c>
      <c r="K820" t="s">
        <v>2457</v>
      </c>
    </row>
    <row r="821" spans="1:11" x14ac:dyDescent="0.2">
      <c r="A821">
        <v>2.2396372127129099E-21</v>
      </c>
      <c r="B821">
        <v>-1.4577888517958599</v>
      </c>
      <c r="C821">
        <v>0.23699999999999999</v>
      </c>
      <c r="D821">
        <v>0.61499999999999999</v>
      </c>
      <c r="E821">
        <v>3.4676302964433998E-17</v>
      </c>
      <c r="F821">
        <v>1</v>
      </c>
      <c r="G821" t="s">
        <v>2458</v>
      </c>
      <c r="H821" t="s">
        <v>2459</v>
      </c>
      <c r="I821" t="s">
        <v>2458</v>
      </c>
      <c r="J821" s="1" t="str">
        <f>HYPERLINK("https://zfin.org/ZDB-GENE-060126-3")</f>
        <v>https://zfin.org/ZDB-GENE-060126-3</v>
      </c>
      <c r="K821" t="s">
        <v>2460</v>
      </c>
    </row>
    <row r="822" spans="1:11" x14ac:dyDescent="0.2">
      <c r="A822">
        <v>2.4145284557355699E-21</v>
      </c>
      <c r="B822">
        <v>0.38784061716562701</v>
      </c>
      <c r="C822">
        <v>0.56100000000000005</v>
      </c>
      <c r="D822">
        <v>0.159</v>
      </c>
      <c r="E822">
        <v>3.7384144080153797E-17</v>
      </c>
      <c r="F822">
        <v>1</v>
      </c>
      <c r="G822" t="s">
        <v>2461</v>
      </c>
      <c r="H822" t="s">
        <v>2462</v>
      </c>
      <c r="I822" t="s">
        <v>2461</v>
      </c>
      <c r="J822" s="1" t="str">
        <f>HYPERLINK("https://zfin.org/ZDB-GENE-040801-250")</f>
        <v>https://zfin.org/ZDB-GENE-040801-250</v>
      </c>
      <c r="K822" t="s">
        <v>2463</v>
      </c>
    </row>
    <row r="823" spans="1:11" x14ac:dyDescent="0.2">
      <c r="A823">
        <v>2.5542587822598299E-21</v>
      </c>
      <c r="B823">
        <v>-0.90708852733190204</v>
      </c>
      <c r="C823">
        <v>0.78900000000000003</v>
      </c>
      <c r="D823">
        <v>0.82399999999999995</v>
      </c>
      <c r="E823">
        <v>3.9547588725728999E-17</v>
      </c>
      <c r="F823">
        <v>1</v>
      </c>
      <c r="G823" t="s">
        <v>2464</v>
      </c>
      <c r="H823" t="s">
        <v>2465</v>
      </c>
      <c r="I823" t="s">
        <v>2464</v>
      </c>
      <c r="J823" s="1" t="str">
        <f>HYPERLINK("https://zfin.org/ZDB-GENE-060331-121")</f>
        <v>https://zfin.org/ZDB-GENE-060331-121</v>
      </c>
      <c r="K823" t="s">
        <v>2466</v>
      </c>
    </row>
    <row r="824" spans="1:11" x14ac:dyDescent="0.2">
      <c r="A824">
        <v>2.5794057533315701E-21</v>
      </c>
      <c r="B824">
        <v>0.25559054685560501</v>
      </c>
      <c r="C824">
        <v>0.193</v>
      </c>
      <c r="D824">
        <v>2.1999999999999999E-2</v>
      </c>
      <c r="E824">
        <v>3.9936939278832701E-17</v>
      </c>
      <c r="F824">
        <v>1</v>
      </c>
      <c r="G824" t="s">
        <v>2467</v>
      </c>
      <c r="H824" t="s">
        <v>2468</v>
      </c>
      <c r="I824" t="s">
        <v>2467</v>
      </c>
      <c r="J824" s="1" t="str">
        <f>HYPERLINK("https://zfin.org/ZDB-GENE-030131-2412")</f>
        <v>https://zfin.org/ZDB-GENE-030131-2412</v>
      </c>
      <c r="K824" t="s">
        <v>2469</v>
      </c>
    </row>
    <row r="825" spans="1:11" x14ac:dyDescent="0.2">
      <c r="A825">
        <v>2.7035250205271202E-21</v>
      </c>
      <c r="B825">
        <v>0.27184011228551502</v>
      </c>
      <c r="C825">
        <v>0.36799999999999999</v>
      </c>
      <c r="D825">
        <v>7.5999999999999998E-2</v>
      </c>
      <c r="E825">
        <v>4.18586778928214E-17</v>
      </c>
      <c r="F825">
        <v>1</v>
      </c>
      <c r="G825" t="s">
        <v>2470</v>
      </c>
      <c r="H825" t="s">
        <v>2471</v>
      </c>
      <c r="I825" t="s">
        <v>2470</v>
      </c>
      <c r="J825" s="1" t="str">
        <f>HYPERLINK("https://zfin.org/ZDB-GENE-050522-228")</f>
        <v>https://zfin.org/ZDB-GENE-050522-228</v>
      </c>
      <c r="K825" t="s">
        <v>2472</v>
      </c>
    </row>
    <row r="826" spans="1:11" x14ac:dyDescent="0.2">
      <c r="A826">
        <v>2.7763353817326702E-21</v>
      </c>
      <c r="B826">
        <v>-0.86436625856975502</v>
      </c>
      <c r="C826">
        <v>0.86799999999999999</v>
      </c>
      <c r="D826">
        <v>0.82299999999999995</v>
      </c>
      <c r="E826">
        <v>4.2986000715366903E-17</v>
      </c>
      <c r="F826">
        <v>1</v>
      </c>
      <c r="G826" t="s">
        <v>2473</v>
      </c>
      <c r="H826" t="s">
        <v>2474</v>
      </c>
      <c r="I826" t="s">
        <v>2473</v>
      </c>
      <c r="J826" s="1" t="str">
        <f>HYPERLINK("https://zfin.org/ZDB-GENE-030131-8494")</f>
        <v>https://zfin.org/ZDB-GENE-030131-8494</v>
      </c>
      <c r="K826" t="s">
        <v>2475</v>
      </c>
    </row>
    <row r="827" spans="1:11" x14ac:dyDescent="0.2">
      <c r="A827">
        <v>3.2470611184005101E-21</v>
      </c>
      <c r="B827">
        <v>0.28694647578719901</v>
      </c>
      <c r="C827">
        <v>0.35099999999999998</v>
      </c>
      <c r="D827">
        <v>7.0999999999999994E-2</v>
      </c>
      <c r="E827">
        <v>5.0274247296195E-17</v>
      </c>
      <c r="F827">
        <v>1</v>
      </c>
      <c r="G827" t="s">
        <v>2476</v>
      </c>
      <c r="H827" t="s">
        <v>2477</v>
      </c>
      <c r="I827" t="s">
        <v>2476</v>
      </c>
      <c r="J827" s="1" t="str">
        <f>HYPERLINK("https://zfin.org/ZDB-GENE-030131-9443")</f>
        <v>https://zfin.org/ZDB-GENE-030131-9443</v>
      </c>
      <c r="K827" t="s">
        <v>2478</v>
      </c>
    </row>
    <row r="828" spans="1:11" x14ac:dyDescent="0.2">
      <c r="A828">
        <v>4.1851522298410203E-21</v>
      </c>
      <c r="B828">
        <v>-1.3307848982828301</v>
      </c>
      <c r="C828">
        <v>0.54400000000000004</v>
      </c>
      <c r="D828">
        <v>0.73099999999999998</v>
      </c>
      <c r="E828">
        <v>6.4798711974628496E-17</v>
      </c>
      <c r="F828">
        <v>1</v>
      </c>
      <c r="G828" t="s">
        <v>2479</v>
      </c>
      <c r="H828" t="s">
        <v>2480</v>
      </c>
      <c r="I828" t="s">
        <v>2479</v>
      </c>
      <c r="J828" s="1" t="str">
        <f>HYPERLINK("https://zfin.org/ZDB-GENE-031002-1")</f>
        <v>https://zfin.org/ZDB-GENE-031002-1</v>
      </c>
      <c r="K828" t="s">
        <v>2481</v>
      </c>
    </row>
    <row r="829" spans="1:11" x14ac:dyDescent="0.2">
      <c r="A829">
        <v>5.0100841374227101E-21</v>
      </c>
      <c r="B829">
        <v>-1.1329055684078699</v>
      </c>
      <c r="C829">
        <v>0.57899999999999996</v>
      </c>
      <c r="D829">
        <v>0.76100000000000001</v>
      </c>
      <c r="E829">
        <v>7.7571132699715794E-17</v>
      </c>
      <c r="F829">
        <v>1</v>
      </c>
      <c r="G829" t="s">
        <v>2482</v>
      </c>
      <c r="H829" t="s">
        <v>2483</v>
      </c>
      <c r="I829" t="s">
        <v>2482</v>
      </c>
      <c r="J829" s="1" t="str">
        <f>HYPERLINK("https://zfin.org/ZDB-GENE-030826-15")</f>
        <v>https://zfin.org/ZDB-GENE-030826-15</v>
      </c>
      <c r="K829" t="s">
        <v>2484</v>
      </c>
    </row>
    <row r="830" spans="1:11" x14ac:dyDescent="0.2">
      <c r="A830">
        <v>5.0737876521409298E-21</v>
      </c>
      <c r="B830">
        <v>0.49602403598053602</v>
      </c>
      <c r="C830">
        <v>0.64900000000000002</v>
      </c>
      <c r="D830">
        <v>0.217</v>
      </c>
      <c r="E830">
        <v>7.8557454218097997E-17</v>
      </c>
      <c r="F830">
        <v>1</v>
      </c>
      <c r="G830" t="s">
        <v>2485</v>
      </c>
      <c r="H830" t="s">
        <v>2486</v>
      </c>
      <c r="I830" t="s">
        <v>2485</v>
      </c>
      <c r="J830" s="1" t="str">
        <f>HYPERLINK("https://zfin.org/ZDB-GENE-040426-730")</f>
        <v>https://zfin.org/ZDB-GENE-040426-730</v>
      </c>
      <c r="K830" t="s">
        <v>2487</v>
      </c>
    </row>
    <row r="831" spans="1:11" x14ac:dyDescent="0.2">
      <c r="A831">
        <v>6.3322761540680701E-21</v>
      </c>
      <c r="B831">
        <v>-1.22739344392394</v>
      </c>
      <c r="C831">
        <v>0.36</v>
      </c>
      <c r="D831">
        <v>0.66600000000000004</v>
      </c>
      <c r="E831">
        <v>9.8042631693435903E-17</v>
      </c>
      <c r="F831">
        <v>1</v>
      </c>
      <c r="G831" t="s">
        <v>2488</v>
      </c>
      <c r="H831" t="s">
        <v>2489</v>
      </c>
      <c r="I831" t="s">
        <v>2488</v>
      </c>
      <c r="J831" s="1" t="str">
        <f>HYPERLINK("https://zfin.org/ZDB-GENE-030131-8554")</f>
        <v>https://zfin.org/ZDB-GENE-030131-8554</v>
      </c>
      <c r="K831" t="s">
        <v>2490</v>
      </c>
    </row>
    <row r="832" spans="1:11" x14ac:dyDescent="0.2">
      <c r="A832">
        <v>7.4910191951782103E-21</v>
      </c>
      <c r="B832">
        <v>0.42480763664295901</v>
      </c>
      <c r="C832">
        <v>0.68400000000000005</v>
      </c>
      <c r="D832">
        <v>0.22800000000000001</v>
      </c>
      <c r="E832">
        <v>1.15983450198944E-16</v>
      </c>
      <c r="F832">
        <v>1</v>
      </c>
      <c r="G832" t="s">
        <v>2491</v>
      </c>
      <c r="H832" t="s">
        <v>2492</v>
      </c>
      <c r="I832" t="s">
        <v>2491</v>
      </c>
      <c r="J832" s="1" t="str">
        <f>HYPERLINK("https://zfin.org/ZDB-GENE-050320-20")</f>
        <v>https://zfin.org/ZDB-GENE-050320-20</v>
      </c>
      <c r="K832" t="s">
        <v>2493</v>
      </c>
    </row>
    <row r="833" spans="1:11" x14ac:dyDescent="0.2">
      <c r="A833">
        <v>7.6050834683969798E-21</v>
      </c>
      <c r="B833">
        <v>0.42753123309424601</v>
      </c>
      <c r="C833">
        <v>1</v>
      </c>
      <c r="D833">
        <v>0.999</v>
      </c>
      <c r="E833">
        <v>1.1774950734119E-16</v>
      </c>
      <c r="F833">
        <v>1</v>
      </c>
      <c r="G833" t="s">
        <v>2494</v>
      </c>
      <c r="H833" t="s">
        <v>2495</v>
      </c>
      <c r="I833" t="s">
        <v>2494</v>
      </c>
      <c r="J833" s="1" t="str">
        <f>HYPERLINK("https://zfin.org/ZDB-GENE-011205-15")</f>
        <v>https://zfin.org/ZDB-GENE-011205-15</v>
      </c>
      <c r="K833" t="s">
        <v>2496</v>
      </c>
    </row>
    <row r="834" spans="1:11" x14ac:dyDescent="0.2">
      <c r="A834">
        <v>8.8874641974582098E-21</v>
      </c>
      <c r="B834">
        <v>0.45737116556846502</v>
      </c>
      <c r="C834">
        <v>0.64</v>
      </c>
      <c r="D834">
        <v>0.20499999999999999</v>
      </c>
      <c r="E834">
        <v>1.3760460816924501E-16</v>
      </c>
      <c r="F834">
        <v>1</v>
      </c>
      <c r="G834" t="s">
        <v>2497</v>
      </c>
      <c r="H834" t="s">
        <v>2498</v>
      </c>
      <c r="I834" t="s">
        <v>2497</v>
      </c>
      <c r="J834" s="1" t="str">
        <f>HYPERLINK("https://zfin.org/ZDB-GENE-040426-2200")</f>
        <v>https://zfin.org/ZDB-GENE-040426-2200</v>
      </c>
      <c r="K834" t="s">
        <v>2499</v>
      </c>
    </row>
    <row r="835" spans="1:11" x14ac:dyDescent="0.2">
      <c r="A835">
        <v>1.02874429740446E-20</v>
      </c>
      <c r="B835">
        <v>0.32918384769421</v>
      </c>
      <c r="C835">
        <v>0.51800000000000002</v>
      </c>
      <c r="D835">
        <v>0.13900000000000001</v>
      </c>
      <c r="E835">
        <v>1.59280479567133E-16</v>
      </c>
      <c r="F835">
        <v>1</v>
      </c>
      <c r="G835" t="s">
        <v>2500</v>
      </c>
      <c r="H835" t="s">
        <v>2501</v>
      </c>
      <c r="I835" t="s">
        <v>2500</v>
      </c>
      <c r="J835" s="1" t="str">
        <f>HYPERLINK("https://zfin.org/ZDB-GENE-030131-7742")</f>
        <v>https://zfin.org/ZDB-GENE-030131-7742</v>
      </c>
      <c r="K835" t="s">
        <v>2502</v>
      </c>
    </row>
    <row r="836" spans="1:11" x14ac:dyDescent="0.2">
      <c r="A836">
        <v>1.06457588117493E-20</v>
      </c>
      <c r="B836">
        <v>0.540957190922285</v>
      </c>
      <c r="C836">
        <v>0.88600000000000001</v>
      </c>
      <c r="D836">
        <v>0.40500000000000003</v>
      </c>
      <c r="E836">
        <v>1.6482828368231499E-16</v>
      </c>
      <c r="F836">
        <v>1</v>
      </c>
      <c r="G836" t="s">
        <v>2503</v>
      </c>
      <c r="H836" t="s">
        <v>2504</v>
      </c>
      <c r="I836" t="s">
        <v>2503</v>
      </c>
      <c r="J836" s="1" t="str">
        <f>HYPERLINK("https://zfin.org/ZDB-GENE-040426-1858")</f>
        <v>https://zfin.org/ZDB-GENE-040426-1858</v>
      </c>
      <c r="K836" t="s">
        <v>2505</v>
      </c>
    </row>
    <row r="837" spans="1:11" x14ac:dyDescent="0.2">
      <c r="A837">
        <v>1.19449835230141E-20</v>
      </c>
      <c r="B837">
        <v>-0.76058510643578603</v>
      </c>
      <c r="C837">
        <v>0.84199999999999997</v>
      </c>
      <c r="D837">
        <v>0.83899999999999997</v>
      </c>
      <c r="E837">
        <v>1.84944179886827E-16</v>
      </c>
      <c r="F837">
        <v>1</v>
      </c>
      <c r="G837" t="s">
        <v>2506</v>
      </c>
      <c r="H837" t="s">
        <v>2507</v>
      </c>
      <c r="I837" t="s">
        <v>2506</v>
      </c>
      <c r="J837" s="1" t="str">
        <f>HYPERLINK("https://zfin.org/ZDB-GENE-030131-168")</f>
        <v>https://zfin.org/ZDB-GENE-030131-168</v>
      </c>
      <c r="K837" t="s">
        <v>2508</v>
      </c>
    </row>
    <row r="838" spans="1:11" x14ac:dyDescent="0.2">
      <c r="A838">
        <v>1.19461292399892E-20</v>
      </c>
      <c r="B838">
        <v>0.35476879060278199</v>
      </c>
      <c r="C838">
        <v>0.60499999999999998</v>
      </c>
      <c r="D838">
        <v>0.18099999999999999</v>
      </c>
      <c r="E838">
        <v>1.84961919022753E-16</v>
      </c>
      <c r="F838">
        <v>1</v>
      </c>
      <c r="G838" t="s">
        <v>2509</v>
      </c>
      <c r="H838" t="s">
        <v>2510</v>
      </c>
      <c r="I838" t="s">
        <v>2509</v>
      </c>
      <c r="J838" s="1" t="str">
        <f>HYPERLINK("https://zfin.org/ZDB-GENE-040120-4")</f>
        <v>https://zfin.org/ZDB-GENE-040120-4</v>
      </c>
      <c r="K838" t="s">
        <v>2511</v>
      </c>
    </row>
    <row r="839" spans="1:11" x14ac:dyDescent="0.2">
      <c r="A839">
        <v>1.29641010562083E-20</v>
      </c>
      <c r="B839">
        <v>0.25586606189813899</v>
      </c>
      <c r="C839">
        <v>0.34200000000000003</v>
      </c>
      <c r="D839">
        <v>6.8000000000000005E-2</v>
      </c>
      <c r="E839">
        <v>2.00723176653273E-16</v>
      </c>
      <c r="F839">
        <v>1</v>
      </c>
      <c r="G839" t="s">
        <v>2512</v>
      </c>
      <c r="H839" t="s">
        <v>2513</v>
      </c>
      <c r="I839" t="s">
        <v>2512</v>
      </c>
      <c r="J839" s="1" t="str">
        <f>HYPERLINK("https://zfin.org/ZDB-GENE-050522-530")</f>
        <v>https://zfin.org/ZDB-GENE-050522-530</v>
      </c>
      <c r="K839" t="s">
        <v>2514</v>
      </c>
    </row>
    <row r="840" spans="1:11" x14ac:dyDescent="0.2">
      <c r="A840">
        <v>1.39687943017207E-20</v>
      </c>
      <c r="B840">
        <v>0.30387929817158099</v>
      </c>
      <c r="C840">
        <v>0.38600000000000001</v>
      </c>
      <c r="D840">
        <v>8.5000000000000006E-2</v>
      </c>
      <c r="E840">
        <v>2.1627884217354101E-16</v>
      </c>
      <c r="F840">
        <v>1</v>
      </c>
      <c r="G840" t="s">
        <v>2515</v>
      </c>
      <c r="H840" t="s">
        <v>2516</v>
      </c>
      <c r="I840" t="s">
        <v>2515</v>
      </c>
      <c r="J840" s="1" t="str">
        <f>HYPERLINK("https://zfin.org/ZDB-GENE-991026-5")</f>
        <v>https://zfin.org/ZDB-GENE-991026-5</v>
      </c>
      <c r="K840" t="s">
        <v>2517</v>
      </c>
    </row>
    <row r="841" spans="1:11" x14ac:dyDescent="0.2">
      <c r="A841">
        <v>1.62640535914641E-20</v>
      </c>
      <c r="B841">
        <v>0.253267515683336</v>
      </c>
      <c r="C841">
        <v>0.27200000000000002</v>
      </c>
      <c r="D841">
        <v>4.4999999999999998E-2</v>
      </c>
      <c r="E841">
        <v>2.5181634175663801E-16</v>
      </c>
      <c r="F841">
        <v>1</v>
      </c>
      <c r="G841" t="s">
        <v>2518</v>
      </c>
      <c r="H841" t="s">
        <v>2519</v>
      </c>
      <c r="I841" t="s">
        <v>2518</v>
      </c>
      <c r="J841" s="1" t="str">
        <f>HYPERLINK("https://zfin.org/ZDB-GENE-120216-1")</f>
        <v>https://zfin.org/ZDB-GENE-120216-1</v>
      </c>
      <c r="K841" t="s">
        <v>2520</v>
      </c>
    </row>
    <row r="842" spans="1:11" x14ac:dyDescent="0.2">
      <c r="A842">
        <v>2.30635280181806E-20</v>
      </c>
      <c r="B842">
        <v>0.41086723128372699</v>
      </c>
      <c r="C842">
        <v>0.60499999999999998</v>
      </c>
      <c r="D842">
        <v>0.188</v>
      </c>
      <c r="E842">
        <v>3.57092604305489E-16</v>
      </c>
      <c r="F842">
        <v>1</v>
      </c>
      <c r="G842" t="s">
        <v>2521</v>
      </c>
      <c r="H842" t="s">
        <v>2522</v>
      </c>
      <c r="I842" t="s">
        <v>2521</v>
      </c>
      <c r="J842" s="1" t="str">
        <f>HYPERLINK("https://zfin.org/ZDB-GENE-030131-6136")</f>
        <v>https://zfin.org/ZDB-GENE-030131-6136</v>
      </c>
      <c r="K842" t="s">
        <v>2523</v>
      </c>
    </row>
    <row r="843" spans="1:11" x14ac:dyDescent="0.2">
      <c r="A843">
        <v>2.7717445560570302E-20</v>
      </c>
      <c r="B843">
        <v>-0.67541909208836803</v>
      </c>
      <c r="C843">
        <v>0.93899999999999995</v>
      </c>
      <c r="D843">
        <v>0.88500000000000001</v>
      </c>
      <c r="E843">
        <v>4.2914920961431E-16</v>
      </c>
      <c r="F843">
        <v>1</v>
      </c>
      <c r="G843" t="s">
        <v>2524</v>
      </c>
      <c r="H843" t="s">
        <v>2525</v>
      </c>
      <c r="I843" t="s">
        <v>2524</v>
      </c>
      <c r="J843" s="1" t="str">
        <f>HYPERLINK("https://zfin.org/ZDB-GENE-030131-10018")</f>
        <v>https://zfin.org/ZDB-GENE-030131-10018</v>
      </c>
      <c r="K843" t="s">
        <v>2526</v>
      </c>
    </row>
    <row r="844" spans="1:11" x14ac:dyDescent="0.2">
      <c r="A844">
        <v>2.86352272677131E-20</v>
      </c>
      <c r="B844">
        <v>0.55089393200325598</v>
      </c>
      <c r="C844">
        <v>0.94699999999999995</v>
      </c>
      <c r="D844">
        <v>0.53500000000000003</v>
      </c>
      <c r="E844">
        <v>4.43359223786002E-16</v>
      </c>
      <c r="F844">
        <v>1</v>
      </c>
      <c r="G844" t="s">
        <v>2527</v>
      </c>
      <c r="H844" t="s">
        <v>2528</v>
      </c>
      <c r="I844" t="s">
        <v>2527</v>
      </c>
      <c r="J844" s="1" t="str">
        <f>HYPERLINK("https://zfin.org/ZDB-GENE-081022-15")</f>
        <v>https://zfin.org/ZDB-GENE-081022-15</v>
      </c>
      <c r="K844" t="s">
        <v>2529</v>
      </c>
    </row>
    <row r="845" spans="1:11" x14ac:dyDescent="0.2">
      <c r="A845">
        <v>2.8961548224171E-20</v>
      </c>
      <c r="B845">
        <v>0.28226982004102003</v>
      </c>
      <c r="C845">
        <v>0.377</v>
      </c>
      <c r="D845">
        <v>8.2000000000000003E-2</v>
      </c>
      <c r="E845">
        <v>4.4841165115484003E-16</v>
      </c>
      <c r="F845">
        <v>1</v>
      </c>
      <c r="G845" t="s">
        <v>2530</v>
      </c>
      <c r="H845" t="s">
        <v>2531</v>
      </c>
      <c r="I845" t="s">
        <v>2530</v>
      </c>
      <c r="J845" s="1" t="str">
        <f>HYPERLINK("https://zfin.org/ZDB-GENE-030131-2194")</f>
        <v>https://zfin.org/ZDB-GENE-030131-2194</v>
      </c>
      <c r="K845" t="s">
        <v>2532</v>
      </c>
    </row>
    <row r="846" spans="1:11" x14ac:dyDescent="0.2">
      <c r="A846">
        <v>3.1687703021361998E-20</v>
      </c>
      <c r="B846">
        <v>0.410857382435245</v>
      </c>
      <c r="C846">
        <v>0.73699999999999999</v>
      </c>
      <c r="D846">
        <v>0.254</v>
      </c>
      <c r="E846">
        <v>4.9062070587974798E-16</v>
      </c>
      <c r="F846">
        <v>1</v>
      </c>
      <c r="G846" t="s">
        <v>2533</v>
      </c>
      <c r="H846" t="s">
        <v>2534</v>
      </c>
      <c r="I846" t="s">
        <v>2533</v>
      </c>
      <c r="J846" s="1" t="str">
        <f>HYPERLINK("https://zfin.org/ZDB-GENE-040426-1688")</f>
        <v>https://zfin.org/ZDB-GENE-040426-1688</v>
      </c>
      <c r="K846" t="s">
        <v>2535</v>
      </c>
    </row>
    <row r="847" spans="1:11" x14ac:dyDescent="0.2">
      <c r="A847">
        <v>3.3376749629303102E-20</v>
      </c>
      <c r="B847">
        <v>0.56461045408212296</v>
      </c>
      <c r="C847">
        <v>0.90400000000000003</v>
      </c>
      <c r="D847">
        <v>0.44400000000000001</v>
      </c>
      <c r="E847">
        <v>5.1677221451049998E-16</v>
      </c>
      <c r="F847">
        <v>1</v>
      </c>
      <c r="G847" t="s">
        <v>2536</v>
      </c>
      <c r="H847" t="s">
        <v>2537</v>
      </c>
      <c r="I847" t="s">
        <v>2536</v>
      </c>
      <c r="J847" s="1" t="str">
        <f>HYPERLINK("https://zfin.org/ZDB-GENE-030131-8901")</f>
        <v>https://zfin.org/ZDB-GENE-030131-8901</v>
      </c>
      <c r="K847" t="s">
        <v>2538</v>
      </c>
    </row>
    <row r="848" spans="1:11" x14ac:dyDescent="0.2">
      <c r="A848">
        <v>3.4885164471989298E-20</v>
      </c>
      <c r="B848">
        <v>0.34228687197666602</v>
      </c>
      <c r="C848">
        <v>0.36</v>
      </c>
      <c r="D848">
        <v>7.8E-2</v>
      </c>
      <c r="E848">
        <v>5.4012700151981105E-16</v>
      </c>
      <c r="F848">
        <v>1</v>
      </c>
      <c r="G848" t="s">
        <v>2539</v>
      </c>
      <c r="H848" t="s">
        <v>2540</v>
      </c>
      <c r="I848" t="s">
        <v>2539</v>
      </c>
      <c r="J848" s="1" t="str">
        <f>HYPERLINK("https://zfin.org/ZDB-GENE-040426-1010")</f>
        <v>https://zfin.org/ZDB-GENE-040426-1010</v>
      </c>
      <c r="K848" t="s">
        <v>2541</v>
      </c>
    </row>
    <row r="849" spans="1:11" x14ac:dyDescent="0.2">
      <c r="A849">
        <v>3.9962147898224298E-20</v>
      </c>
      <c r="B849">
        <v>0.49707273605173902</v>
      </c>
      <c r="C849">
        <v>0.85099999999999998</v>
      </c>
      <c r="D849">
        <v>0.36299999999999999</v>
      </c>
      <c r="E849">
        <v>6.1873393590820696E-16</v>
      </c>
      <c r="F849">
        <v>1</v>
      </c>
      <c r="G849" t="s">
        <v>2542</v>
      </c>
      <c r="H849" t="s">
        <v>2543</v>
      </c>
      <c r="I849" t="s">
        <v>2544</v>
      </c>
      <c r="J849" s="1" t="str">
        <f>HYPERLINK("https://zfin.org/ZDB-GENE-020415-1")</f>
        <v>https://zfin.org/ZDB-GENE-020415-1</v>
      </c>
      <c r="K849" t="s">
        <v>2545</v>
      </c>
    </row>
    <row r="850" spans="1:11" x14ac:dyDescent="0.2">
      <c r="A850">
        <v>4.3252700223287498E-20</v>
      </c>
      <c r="B850">
        <v>0.55237705126890202</v>
      </c>
      <c r="C850">
        <v>0.89500000000000002</v>
      </c>
      <c r="D850">
        <v>0.41399999999999998</v>
      </c>
      <c r="E850">
        <v>6.6968155755715996E-16</v>
      </c>
      <c r="F850">
        <v>1</v>
      </c>
      <c r="G850" t="s">
        <v>2546</v>
      </c>
      <c r="H850" t="s">
        <v>2547</v>
      </c>
      <c r="I850" t="s">
        <v>2546</v>
      </c>
      <c r="J850" s="1" t="str">
        <f>HYPERLINK("https://zfin.org/ZDB-GENE-030131-6614")</f>
        <v>https://zfin.org/ZDB-GENE-030131-6614</v>
      </c>
      <c r="K850" t="s">
        <v>2548</v>
      </c>
    </row>
    <row r="851" spans="1:11" x14ac:dyDescent="0.2">
      <c r="A851">
        <v>4.5277382087588301E-20</v>
      </c>
      <c r="B851">
        <v>0.364748516701693</v>
      </c>
      <c r="C851">
        <v>0.53500000000000003</v>
      </c>
      <c r="D851">
        <v>0.151</v>
      </c>
      <c r="E851">
        <v>7.0102970686212996E-16</v>
      </c>
      <c r="F851">
        <v>1</v>
      </c>
      <c r="G851" t="s">
        <v>2549</v>
      </c>
      <c r="H851" t="s">
        <v>2550</v>
      </c>
      <c r="I851" t="s">
        <v>2549</v>
      </c>
      <c r="J851" s="1" t="str">
        <f>HYPERLINK("https://zfin.org/ZDB-GENE-040426-1734")</f>
        <v>https://zfin.org/ZDB-GENE-040426-1734</v>
      </c>
      <c r="K851" t="s">
        <v>2551</v>
      </c>
    </row>
    <row r="852" spans="1:11" x14ac:dyDescent="0.2">
      <c r="A852">
        <v>4.8534831846940202E-20</v>
      </c>
      <c r="B852">
        <v>0.38600084245244998</v>
      </c>
      <c r="C852">
        <v>0.5</v>
      </c>
      <c r="D852">
        <v>0.14099999999999999</v>
      </c>
      <c r="E852">
        <v>7.5146480148617599E-16</v>
      </c>
      <c r="F852">
        <v>1</v>
      </c>
      <c r="G852" t="s">
        <v>2552</v>
      </c>
      <c r="H852" t="s">
        <v>2553</v>
      </c>
      <c r="I852" t="s">
        <v>2552</v>
      </c>
      <c r="J852" s="1" t="str">
        <f>HYPERLINK("https://zfin.org/ZDB-GENE-050522-376")</f>
        <v>https://zfin.org/ZDB-GENE-050522-376</v>
      </c>
      <c r="K852" t="s">
        <v>2554</v>
      </c>
    </row>
    <row r="853" spans="1:11" x14ac:dyDescent="0.2">
      <c r="A853">
        <v>1.2483618345381499E-19</v>
      </c>
      <c r="B853">
        <v>0.56391885019458499</v>
      </c>
      <c r="C853">
        <v>0.94699999999999995</v>
      </c>
      <c r="D853">
        <v>0.52</v>
      </c>
      <c r="E853">
        <v>1.9328386284154099E-15</v>
      </c>
      <c r="F853">
        <v>1</v>
      </c>
      <c r="G853" t="s">
        <v>2555</v>
      </c>
      <c r="H853" t="s">
        <v>2556</v>
      </c>
      <c r="I853" t="s">
        <v>2555</v>
      </c>
      <c r="J853" s="1" t="str">
        <f>HYPERLINK("https://zfin.org/ZDB-GENE-040426-1658")</f>
        <v>https://zfin.org/ZDB-GENE-040426-1658</v>
      </c>
      <c r="K853" t="s">
        <v>2557</v>
      </c>
    </row>
    <row r="854" spans="1:11" x14ac:dyDescent="0.2">
      <c r="A854">
        <v>1.26495888706333E-19</v>
      </c>
      <c r="B854">
        <v>0.33742910794369302</v>
      </c>
      <c r="C854">
        <v>0.39500000000000002</v>
      </c>
      <c r="D854">
        <v>9.4E-2</v>
      </c>
      <c r="E854">
        <v>1.9585358448401598E-15</v>
      </c>
      <c r="F854">
        <v>1</v>
      </c>
      <c r="G854" t="s">
        <v>2558</v>
      </c>
      <c r="H854" t="s">
        <v>2559</v>
      </c>
      <c r="I854" t="s">
        <v>2558</v>
      </c>
      <c r="J854" s="1" t="str">
        <f>HYPERLINK("https://zfin.org/ZDB-GENE-021219-2")</f>
        <v>https://zfin.org/ZDB-GENE-021219-2</v>
      </c>
      <c r="K854" t="s">
        <v>2560</v>
      </c>
    </row>
    <row r="855" spans="1:11" x14ac:dyDescent="0.2">
      <c r="A855">
        <v>2.1110795538466399E-19</v>
      </c>
      <c r="B855">
        <v>0.49150401707210301</v>
      </c>
      <c r="C855">
        <v>0.754</v>
      </c>
      <c r="D855">
        <v>0.28899999999999998</v>
      </c>
      <c r="E855">
        <v>3.2685844732207498E-15</v>
      </c>
      <c r="F855">
        <v>1</v>
      </c>
      <c r="G855" t="s">
        <v>2561</v>
      </c>
      <c r="H855" t="s">
        <v>2562</v>
      </c>
      <c r="I855" t="s">
        <v>2561</v>
      </c>
      <c r="J855" s="1" t="str">
        <f>HYPERLINK("https://zfin.org/ZDB-GENE-050311-1")</f>
        <v>https://zfin.org/ZDB-GENE-050311-1</v>
      </c>
      <c r="K855" t="s">
        <v>2563</v>
      </c>
    </row>
    <row r="856" spans="1:11" x14ac:dyDescent="0.2">
      <c r="A856">
        <v>2.1880026329773802E-19</v>
      </c>
      <c r="B856">
        <v>0.27491097194007202</v>
      </c>
      <c r="C856">
        <v>0.377</v>
      </c>
      <c r="D856">
        <v>8.6999999999999994E-2</v>
      </c>
      <c r="E856">
        <v>3.3876844766388801E-15</v>
      </c>
      <c r="F856">
        <v>1</v>
      </c>
      <c r="G856" t="s">
        <v>2564</v>
      </c>
      <c r="H856" t="s">
        <v>2565</v>
      </c>
      <c r="I856" t="s">
        <v>2564</v>
      </c>
      <c r="J856" s="1" t="str">
        <f>HYPERLINK("https://zfin.org/ZDB-GENE-060929-180")</f>
        <v>https://zfin.org/ZDB-GENE-060929-180</v>
      </c>
      <c r="K856" t="s">
        <v>2566</v>
      </c>
    </row>
    <row r="857" spans="1:11" x14ac:dyDescent="0.2">
      <c r="A857">
        <v>2.3191892671457001E-19</v>
      </c>
      <c r="B857">
        <v>-0.67635161865556903</v>
      </c>
      <c r="C857">
        <v>0.93</v>
      </c>
      <c r="D857">
        <v>0.86699999999999999</v>
      </c>
      <c r="E857">
        <v>3.59080074232169E-15</v>
      </c>
      <c r="F857">
        <v>1</v>
      </c>
      <c r="G857" t="s">
        <v>2567</v>
      </c>
      <c r="H857" t="s">
        <v>2568</v>
      </c>
      <c r="I857" t="s">
        <v>2567</v>
      </c>
      <c r="J857" s="1" t="str">
        <f>HYPERLINK("https://zfin.org/ZDB-GENE-030131-7275")</f>
        <v>https://zfin.org/ZDB-GENE-030131-7275</v>
      </c>
      <c r="K857" t="s">
        <v>2569</v>
      </c>
    </row>
    <row r="858" spans="1:11" x14ac:dyDescent="0.2">
      <c r="A858">
        <v>2.9626079912768699E-19</v>
      </c>
      <c r="B858">
        <v>0.56894228597739405</v>
      </c>
      <c r="C858">
        <v>0.95599999999999996</v>
      </c>
      <c r="D858">
        <v>0.55800000000000005</v>
      </c>
      <c r="E858">
        <v>4.5870059528939799E-15</v>
      </c>
      <c r="F858">
        <v>1</v>
      </c>
      <c r="G858" t="s">
        <v>2570</v>
      </c>
      <c r="H858" t="s">
        <v>2571</v>
      </c>
      <c r="I858" t="s">
        <v>2570</v>
      </c>
      <c r="J858" s="1" t="str">
        <f>HYPERLINK("https://zfin.org/ZDB-GENE-020731-5")</f>
        <v>https://zfin.org/ZDB-GENE-020731-5</v>
      </c>
      <c r="K858" t="s">
        <v>2572</v>
      </c>
    </row>
    <row r="859" spans="1:11" x14ac:dyDescent="0.2">
      <c r="A859">
        <v>2.9648983188522699E-19</v>
      </c>
      <c r="B859">
        <v>0.337611351098551</v>
      </c>
      <c r="C859">
        <v>0.44700000000000001</v>
      </c>
      <c r="D859">
        <v>0.11899999999999999</v>
      </c>
      <c r="E859">
        <v>4.5905520670789798E-15</v>
      </c>
      <c r="F859">
        <v>1</v>
      </c>
      <c r="G859" t="s">
        <v>2573</v>
      </c>
      <c r="H859" t="s">
        <v>2574</v>
      </c>
      <c r="I859" t="s">
        <v>2573</v>
      </c>
      <c r="J859" s="1" t="str">
        <f>HYPERLINK("https://zfin.org/ZDB-GENE-050506-78")</f>
        <v>https://zfin.org/ZDB-GENE-050506-78</v>
      </c>
      <c r="K859" t="s">
        <v>2575</v>
      </c>
    </row>
    <row r="860" spans="1:11" x14ac:dyDescent="0.2">
      <c r="A860">
        <v>2.9657816046737799E-19</v>
      </c>
      <c r="B860">
        <v>-0.74645439497545396</v>
      </c>
      <c r="C860">
        <v>0.93</v>
      </c>
      <c r="D860">
        <v>0.82899999999999996</v>
      </c>
      <c r="E860">
        <v>4.59191965851642E-15</v>
      </c>
      <c r="F860">
        <v>1</v>
      </c>
      <c r="G860" t="s">
        <v>2576</v>
      </c>
      <c r="H860" t="s">
        <v>2577</v>
      </c>
      <c r="I860" t="s">
        <v>2576</v>
      </c>
      <c r="J860" s="1" t="str">
        <f>HYPERLINK("https://zfin.org/ZDB-GENE-030131-7310")</f>
        <v>https://zfin.org/ZDB-GENE-030131-7310</v>
      </c>
      <c r="K860" t="s">
        <v>2578</v>
      </c>
    </row>
    <row r="861" spans="1:11" x14ac:dyDescent="0.2">
      <c r="A861">
        <v>3.2889822019261002E-19</v>
      </c>
      <c r="B861">
        <v>0.46834803550894799</v>
      </c>
      <c r="C861">
        <v>0.88600000000000001</v>
      </c>
      <c r="D861">
        <v>0.38700000000000001</v>
      </c>
      <c r="E861">
        <v>5.0923311432421799E-15</v>
      </c>
      <c r="F861">
        <v>1</v>
      </c>
      <c r="G861" t="s">
        <v>2579</v>
      </c>
      <c r="H861" t="s">
        <v>2580</v>
      </c>
      <c r="I861" t="s">
        <v>2579</v>
      </c>
      <c r="J861" s="1" t="str">
        <f>HYPERLINK("https://zfin.org/ZDB-GENE-011205-9")</f>
        <v>https://zfin.org/ZDB-GENE-011205-9</v>
      </c>
      <c r="K861" t="s">
        <v>2581</v>
      </c>
    </row>
    <row r="862" spans="1:11" x14ac:dyDescent="0.2">
      <c r="A862">
        <v>3.5536428159609102E-19</v>
      </c>
      <c r="B862">
        <v>-1.0938545472879899</v>
      </c>
      <c r="C862">
        <v>0.32500000000000001</v>
      </c>
      <c r="D862">
        <v>0.65200000000000002</v>
      </c>
      <c r="E862">
        <v>5.5021051719522799E-15</v>
      </c>
      <c r="F862">
        <v>1</v>
      </c>
      <c r="G862" t="s">
        <v>2582</v>
      </c>
      <c r="H862" t="s">
        <v>2583</v>
      </c>
      <c r="I862" t="s">
        <v>2582</v>
      </c>
      <c r="J862" s="1" t="str">
        <f>HYPERLINK("https://zfin.org/ZDB-GENE-030131-8398")</f>
        <v>https://zfin.org/ZDB-GENE-030131-8398</v>
      </c>
      <c r="K862" t="s">
        <v>2584</v>
      </c>
    </row>
    <row r="863" spans="1:11" x14ac:dyDescent="0.2">
      <c r="A863">
        <v>4.1910429149633699E-19</v>
      </c>
      <c r="B863">
        <v>-0.85533168610624799</v>
      </c>
      <c r="C863">
        <v>0.71899999999999997</v>
      </c>
      <c r="D863">
        <v>0.78100000000000003</v>
      </c>
      <c r="E863">
        <v>6.4889917452377803E-15</v>
      </c>
      <c r="F863">
        <v>1</v>
      </c>
      <c r="G863" t="s">
        <v>2585</v>
      </c>
      <c r="H863" t="s">
        <v>2586</v>
      </c>
      <c r="I863" t="s">
        <v>2585</v>
      </c>
      <c r="J863" s="1" t="str">
        <f>HYPERLINK("https://zfin.org/ZDB-GENE-030131-5161")</f>
        <v>https://zfin.org/ZDB-GENE-030131-5161</v>
      </c>
      <c r="K863" t="s">
        <v>2587</v>
      </c>
    </row>
    <row r="864" spans="1:11" x14ac:dyDescent="0.2">
      <c r="A864">
        <v>4.8923893199807597E-19</v>
      </c>
      <c r="B864">
        <v>-1.26588397225716</v>
      </c>
      <c r="C864">
        <v>0.36</v>
      </c>
      <c r="D864">
        <v>0.65200000000000002</v>
      </c>
      <c r="E864">
        <v>7.5748863841262097E-15</v>
      </c>
      <c r="F864">
        <v>1</v>
      </c>
      <c r="G864" t="s">
        <v>2588</v>
      </c>
      <c r="H864" t="s">
        <v>2589</v>
      </c>
      <c r="I864" t="s">
        <v>2588</v>
      </c>
      <c r="J864" s="1" t="str">
        <f>HYPERLINK("https://zfin.org/ZDB-GENE-030131-5493")</f>
        <v>https://zfin.org/ZDB-GENE-030131-5493</v>
      </c>
      <c r="K864" t="s">
        <v>2590</v>
      </c>
    </row>
    <row r="865" spans="1:11" x14ac:dyDescent="0.2">
      <c r="A865">
        <v>4.8946414418751701E-19</v>
      </c>
      <c r="B865">
        <v>0.32717325422691601</v>
      </c>
      <c r="C865">
        <v>0.52600000000000002</v>
      </c>
      <c r="D865">
        <v>0.152</v>
      </c>
      <c r="E865">
        <v>7.5783733444553305E-15</v>
      </c>
      <c r="F865">
        <v>1</v>
      </c>
      <c r="G865" t="s">
        <v>2591</v>
      </c>
      <c r="H865" t="s">
        <v>2592</v>
      </c>
      <c r="I865" t="s">
        <v>2591</v>
      </c>
      <c r="J865" s="1" t="str">
        <f>HYPERLINK("https://zfin.org/ZDB-GENE-040808-73")</f>
        <v>https://zfin.org/ZDB-GENE-040808-73</v>
      </c>
      <c r="K865" t="s">
        <v>2593</v>
      </c>
    </row>
    <row r="866" spans="1:11" x14ac:dyDescent="0.2">
      <c r="A866">
        <v>6.2107496111002104E-19</v>
      </c>
      <c r="B866">
        <v>0.26117452738520902</v>
      </c>
      <c r="C866">
        <v>0.254</v>
      </c>
      <c r="D866">
        <v>4.2999999999999997E-2</v>
      </c>
      <c r="E866">
        <v>9.6161036228664605E-15</v>
      </c>
      <c r="F866">
        <v>1</v>
      </c>
      <c r="G866" t="s">
        <v>2594</v>
      </c>
      <c r="H866" t="s">
        <v>2595</v>
      </c>
      <c r="I866" t="s">
        <v>2594</v>
      </c>
      <c r="J866" s="1" t="str">
        <f>HYPERLINK("https://zfin.org/ZDB-GENE-050809-90")</f>
        <v>https://zfin.org/ZDB-GENE-050809-90</v>
      </c>
      <c r="K866" t="s">
        <v>2596</v>
      </c>
    </row>
    <row r="867" spans="1:11" x14ac:dyDescent="0.2">
      <c r="A867">
        <v>7.6665889592861403E-19</v>
      </c>
      <c r="B867">
        <v>0.52501313682762496</v>
      </c>
      <c r="C867">
        <v>0.91200000000000003</v>
      </c>
      <c r="D867">
        <v>0.48399999999999999</v>
      </c>
      <c r="E867">
        <v>1.1870179685662701E-14</v>
      </c>
      <c r="F867">
        <v>1</v>
      </c>
      <c r="G867" t="s">
        <v>2597</v>
      </c>
      <c r="H867" t="s">
        <v>2598</v>
      </c>
      <c r="I867" t="s">
        <v>2597</v>
      </c>
      <c r="J867" s="1" t="str">
        <f>HYPERLINK("https://zfin.org/ZDB-GENE-040426-2166")</f>
        <v>https://zfin.org/ZDB-GENE-040426-2166</v>
      </c>
      <c r="K867" t="s">
        <v>2599</v>
      </c>
    </row>
    <row r="868" spans="1:11" x14ac:dyDescent="0.2">
      <c r="A868">
        <v>8.7274259591901094E-19</v>
      </c>
      <c r="B868">
        <v>0.44133497588551701</v>
      </c>
      <c r="C868">
        <v>0.77200000000000002</v>
      </c>
      <c r="D868">
        <v>0.29799999999999999</v>
      </c>
      <c r="E868">
        <v>1.3512673612614E-14</v>
      </c>
      <c r="F868">
        <v>1</v>
      </c>
      <c r="G868" t="s">
        <v>2600</v>
      </c>
      <c r="H868" t="s">
        <v>2601</v>
      </c>
      <c r="I868" t="s">
        <v>2600</v>
      </c>
      <c r="J868" s="1" t="str">
        <f>HYPERLINK("https://zfin.org/ZDB-GENE-050522-421")</f>
        <v>https://zfin.org/ZDB-GENE-050522-421</v>
      </c>
      <c r="K868" t="s">
        <v>2602</v>
      </c>
    </row>
    <row r="869" spans="1:11" x14ac:dyDescent="0.2">
      <c r="A869">
        <v>9.2212783671594795E-19</v>
      </c>
      <c r="B869">
        <v>0.46712045274483399</v>
      </c>
      <c r="C869">
        <v>1</v>
      </c>
      <c r="D869">
        <v>0.97199999999999998</v>
      </c>
      <c r="E869">
        <v>1.4277305295873001E-14</v>
      </c>
      <c r="F869">
        <v>1</v>
      </c>
      <c r="G869" t="s">
        <v>2603</v>
      </c>
      <c r="H869" t="s">
        <v>2604</v>
      </c>
      <c r="I869" t="s">
        <v>2603</v>
      </c>
      <c r="J869" s="1" t="str">
        <f>HYPERLINK("https://zfin.org/ZDB-GENE-011205-14")</f>
        <v>https://zfin.org/ZDB-GENE-011205-14</v>
      </c>
      <c r="K869" t="s">
        <v>2605</v>
      </c>
    </row>
    <row r="870" spans="1:11" x14ac:dyDescent="0.2">
      <c r="A870">
        <v>9.4334483037127095E-19</v>
      </c>
      <c r="B870">
        <v>-2.0167112810699801</v>
      </c>
      <c r="C870">
        <v>0.73699999999999999</v>
      </c>
      <c r="D870">
        <v>0.78</v>
      </c>
      <c r="E870">
        <v>1.46058080086384E-14</v>
      </c>
      <c r="F870">
        <v>1</v>
      </c>
      <c r="G870" t="s">
        <v>2606</v>
      </c>
      <c r="H870" t="s">
        <v>2607</v>
      </c>
      <c r="I870" t="s">
        <v>2606</v>
      </c>
      <c r="J870" s="1" t="str">
        <f>HYPERLINK("https://zfin.org/ZDB-GENE-121214-200")</f>
        <v>https://zfin.org/ZDB-GENE-121214-200</v>
      </c>
      <c r="K870" t="s">
        <v>2608</v>
      </c>
    </row>
    <row r="871" spans="1:11" x14ac:dyDescent="0.2">
      <c r="A871">
        <v>9.65806068740391E-19</v>
      </c>
      <c r="B871">
        <v>-1.04624830183488</v>
      </c>
      <c r="C871">
        <v>0.50900000000000001</v>
      </c>
      <c r="D871">
        <v>0.69699999999999995</v>
      </c>
      <c r="E871">
        <v>1.4953575362307499E-14</v>
      </c>
      <c r="F871">
        <v>1</v>
      </c>
      <c r="G871" t="s">
        <v>2609</v>
      </c>
      <c r="H871" t="s">
        <v>2610</v>
      </c>
      <c r="I871" t="s">
        <v>2609</v>
      </c>
      <c r="J871" s="1" t="str">
        <f>HYPERLINK("https://zfin.org/ZDB-GENE-030131-4900")</f>
        <v>https://zfin.org/ZDB-GENE-030131-4900</v>
      </c>
      <c r="K871" t="s">
        <v>2611</v>
      </c>
    </row>
    <row r="872" spans="1:11" x14ac:dyDescent="0.2">
      <c r="A872">
        <v>1.12533147951905E-18</v>
      </c>
      <c r="B872">
        <v>-1.5286543475619301</v>
      </c>
      <c r="C872">
        <v>0.307</v>
      </c>
      <c r="D872">
        <v>0.61599999999999999</v>
      </c>
      <c r="E872">
        <v>1.7423507297393499E-14</v>
      </c>
      <c r="F872">
        <v>1</v>
      </c>
      <c r="G872" t="s">
        <v>2612</v>
      </c>
      <c r="H872" t="s">
        <v>2613</v>
      </c>
      <c r="I872" t="s">
        <v>2612</v>
      </c>
      <c r="J872" s="1" t="str">
        <f>HYPERLINK("https://zfin.org/ZDB-GENE-030131-9126")</f>
        <v>https://zfin.org/ZDB-GENE-030131-9126</v>
      </c>
      <c r="K872" t="s">
        <v>2614</v>
      </c>
    </row>
    <row r="873" spans="1:11" x14ac:dyDescent="0.2">
      <c r="A873">
        <v>1.2305352341853001E-18</v>
      </c>
      <c r="B873">
        <v>0.28724956181292399</v>
      </c>
      <c r="C873">
        <v>0.36</v>
      </c>
      <c r="D873">
        <v>8.4000000000000005E-2</v>
      </c>
      <c r="E873">
        <v>1.9052377030891001E-14</v>
      </c>
      <c r="F873">
        <v>1</v>
      </c>
      <c r="G873" t="s">
        <v>2615</v>
      </c>
      <c r="H873" t="s">
        <v>2616</v>
      </c>
      <c r="I873" t="s">
        <v>2615</v>
      </c>
      <c r="J873" s="1" t="str">
        <f>HYPERLINK("https://zfin.org/ZDB-GENE-040426-1632")</f>
        <v>https://zfin.org/ZDB-GENE-040426-1632</v>
      </c>
      <c r="K873" t="s">
        <v>2617</v>
      </c>
    </row>
    <row r="874" spans="1:11" x14ac:dyDescent="0.2">
      <c r="A874">
        <v>1.29076140278238E-18</v>
      </c>
      <c r="B874">
        <v>-0.62152920952330803</v>
      </c>
      <c r="C874">
        <v>0.99099999999999999</v>
      </c>
      <c r="D874">
        <v>0.96699999999999997</v>
      </c>
      <c r="E874">
        <v>1.9984858799279501E-14</v>
      </c>
      <c r="F874">
        <v>1</v>
      </c>
      <c r="G874" t="s">
        <v>2618</v>
      </c>
      <c r="H874" t="s">
        <v>2619</v>
      </c>
      <c r="I874" t="s">
        <v>2618</v>
      </c>
      <c r="J874" s="1" t="str">
        <f>HYPERLINK("https://zfin.org/ZDB-GENE-030131-5475")</f>
        <v>https://zfin.org/ZDB-GENE-030131-5475</v>
      </c>
      <c r="K874" t="s">
        <v>2620</v>
      </c>
    </row>
    <row r="875" spans="1:11" x14ac:dyDescent="0.2">
      <c r="A875">
        <v>1.41897558913446E-18</v>
      </c>
      <c r="B875">
        <v>0.29283045113781803</v>
      </c>
      <c r="C875">
        <v>0.44700000000000001</v>
      </c>
      <c r="D875">
        <v>0.11899999999999999</v>
      </c>
      <c r="E875">
        <v>2.1969999046568899E-14</v>
      </c>
      <c r="F875">
        <v>1</v>
      </c>
      <c r="G875" t="s">
        <v>2621</v>
      </c>
      <c r="H875" t="s">
        <v>2622</v>
      </c>
      <c r="I875" t="s">
        <v>2621</v>
      </c>
      <c r="J875" s="1" t="str">
        <f>HYPERLINK("https://zfin.org/ZDB-GENE-091204-298")</f>
        <v>https://zfin.org/ZDB-GENE-091204-298</v>
      </c>
      <c r="K875" t="s">
        <v>2623</v>
      </c>
    </row>
    <row r="876" spans="1:11" x14ac:dyDescent="0.2">
      <c r="A876">
        <v>1.6205139822937301E-18</v>
      </c>
      <c r="B876">
        <v>0.52469278893829896</v>
      </c>
      <c r="C876">
        <v>0.84199999999999997</v>
      </c>
      <c r="D876">
        <v>0.39700000000000002</v>
      </c>
      <c r="E876">
        <v>2.50904179878539E-14</v>
      </c>
      <c r="F876">
        <v>1</v>
      </c>
      <c r="G876" t="s">
        <v>2624</v>
      </c>
      <c r="H876" t="s">
        <v>2625</v>
      </c>
      <c r="I876" t="s">
        <v>2624</v>
      </c>
      <c r="J876" s="1" t="str">
        <f>HYPERLINK("https://zfin.org/ZDB-GENE-040426-2060")</f>
        <v>https://zfin.org/ZDB-GENE-040426-2060</v>
      </c>
      <c r="K876" t="s">
        <v>2626</v>
      </c>
    </row>
    <row r="877" spans="1:11" x14ac:dyDescent="0.2">
      <c r="A877">
        <v>1.7751618094774801E-18</v>
      </c>
      <c r="B877">
        <v>0.33981801738811801</v>
      </c>
      <c r="C877">
        <v>0.65800000000000003</v>
      </c>
      <c r="D877">
        <v>0.222</v>
      </c>
      <c r="E877">
        <v>2.7484830296139799E-14</v>
      </c>
      <c r="F877">
        <v>1</v>
      </c>
      <c r="G877" t="s">
        <v>2627</v>
      </c>
      <c r="H877" t="s">
        <v>2628</v>
      </c>
      <c r="I877" t="s">
        <v>2627</v>
      </c>
      <c r="J877" s="1" t="str">
        <f>HYPERLINK("https://zfin.org/ZDB-GENE-030131-9831")</f>
        <v>https://zfin.org/ZDB-GENE-030131-9831</v>
      </c>
      <c r="K877" t="s">
        <v>2629</v>
      </c>
    </row>
    <row r="878" spans="1:11" x14ac:dyDescent="0.2">
      <c r="A878">
        <v>2.0806836387199098E-18</v>
      </c>
      <c r="B878">
        <v>0.475583872093157</v>
      </c>
      <c r="C878">
        <v>0.86799999999999999</v>
      </c>
      <c r="D878">
        <v>0.38900000000000001</v>
      </c>
      <c r="E878">
        <v>3.22152247783003E-14</v>
      </c>
      <c r="F878">
        <v>1</v>
      </c>
      <c r="G878" t="s">
        <v>2630</v>
      </c>
      <c r="H878" t="s">
        <v>2631</v>
      </c>
      <c r="I878" t="s">
        <v>2630</v>
      </c>
      <c r="J878" s="1" t="str">
        <f>HYPERLINK("https://zfin.org/ZDB-GENE-040426-1691")</f>
        <v>https://zfin.org/ZDB-GENE-040426-1691</v>
      </c>
      <c r="K878" t="s">
        <v>2632</v>
      </c>
    </row>
    <row r="879" spans="1:11" x14ac:dyDescent="0.2">
      <c r="A879">
        <v>2.4996495535747102E-18</v>
      </c>
      <c r="B879">
        <v>0.43047962404460399</v>
      </c>
      <c r="C879">
        <v>0.56999999999999995</v>
      </c>
      <c r="D879">
        <v>0.186</v>
      </c>
      <c r="E879">
        <v>3.8702074037997297E-14</v>
      </c>
      <c r="F879">
        <v>1</v>
      </c>
      <c r="G879" t="s">
        <v>2633</v>
      </c>
      <c r="H879" t="s">
        <v>2634</v>
      </c>
      <c r="I879" t="s">
        <v>2633</v>
      </c>
      <c r="J879" s="1" t="str">
        <f>HYPERLINK("https://zfin.org/")</f>
        <v>https://zfin.org/</v>
      </c>
      <c r="K879" t="s">
        <v>2635</v>
      </c>
    </row>
    <row r="880" spans="1:11" x14ac:dyDescent="0.2">
      <c r="A880">
        <v>2.5776087721129198E-18</v>
      </c>
      <c r="B880">
        <v>0.33051232551117599</v>
      </c>
      <c r="C880">
        <v>0.28899999999999998</v>
      </c>
      <c r="D880">
        <v>5.8000000000000003E-2</v>
      </c>
      <c r="E880">
        <v>3.9909116618624298E-14</v>
      </c>
      <c r="F880">
        <v>1</v>
      </c>
      <c r="G880" t="s">
        <v>2636</v>
      </c>
      <c r="H880" t="s">
        <v>2637</v>
      </c>
      <c r="I880" t="s">
        <v>2636</v>
      </c>
      <c r="J880" s="1" t="str">
        <f>HYPERLINK("https://zfin.org/ZDB-GENE-050522-329")</f>
        <v>https://zfin.org/ZDB-GENE-050522-329</v>
      </c>
      <c r="K880" t="s">
        <v>2638</v>
      </c>
    </row>
    <row r="881" spans="1:11" x14ac:dyDescent="0.2">
      <c r="A881">
        <v>2.62740177522611E-18</v>
      </c>
      <c r="B881">
        <v>0.251124945111034</v>
      </c>
      <c r="C881">
        <v>0.32500000000000001</v>
      </c>
      <c r="D881">
        <v>6.9000000000000006E-2</v>
      </c>
      <c r="E881">
        <v>4.0680061685825799E-14</v>
      </c>
      <c r="F881">
        <v>1</v>
      </c>
      <c r="G881" t="s">
        <v>2639</v>
      </c>
      <c r="H881" t="s">
        <v>2640</v>
      </c>
      <c r="I881" t="s">
        <v>2639</v>
      </c>
      <c r="J881" s="1" t="str">
        <f>HYPERLINK("https://zfin.org/ZDB-GENE-050417-365")</f>
        <v>https://zfin.org/ZDB-GENE-050417-365</v>
      </c>
      <c r="K881" t="s">
        <v>2641</v>
      </c>
    </row>
    <row r="882" spans="1:11" x14ac:dyDescent="0.2">
      <c r="A882">
        <v>2.7783346578384898E-18</v>
      </c>
      <c r="B882">
        <v>-0.80009317302342198</v>
      </c>
      <c r="C882">
        <v>0.88600000000000001</v>
      </c>
      <c r="D882">
        <v>0.81200000000000006</v>
      </c>
      <c r="E882">
        <v>4.3016955507313301E-14</v>
      </c>
      <c r="F882">
        <v>1</v>
      </c>
      <c r="G882" t="s">
        <v>2642</v>
      </c>
      <c r="H882" t="s">
        <v>2643</v>
      </c>
      <c r="I882" t="s">
        <v>2642</v>
      </c>
      <c r="J882" s="1" t="str">
        <f>HYPERLINK("https://zfin.org/ZDB-GENE-080220-50")</f>
        <v>https://zfin.org/ZDB-GENE-080220-50</v>
      </c>
      <c r="K882" t="s">
        <v>2644</v>
      </c>
    </row>
    <row r="883" spans="1:11" x14ac:dyDescent="0.2">
      <c r="A883">
        <v>3.1895549642376299E-18</v>
      </c>
      <c r="B883">
        <v>0.45431271727123401</v>
      </c>
      <c r="C883">
        <v>0.65800000000000003</v>
      </c>
      <c r="D883">
        <v>0.24</v>
      </c>
      <c r="E883">
        <v>4.93838795112913E-14</v>
      </c>
      <c r="F883">
        <v>1</v>
      </c>
      <c r="G883" t="s">
        <v>2645</v>
      </c>
      <c r="H883" t="s">
        <v>2646</v>
      </c>
      <c r="I883" t="s">
        <v>2645</v>
      </c>
      <c r="J883" s="1" t="str">
        <f>HYPERLINK("https://zfin.org/ZDB-GENE-030131-8005")</f>
        <v>https://zfin.org/ZDB-GENE-030131-8005</v>
      </c>
      <c r="K883" t="s">
        <v>2647</v>
      </c>
    </row>
    <row r="884" spans="1:11" x14ac:dyDescent="0.2">
      <c r="A884">
        <v>3.3102265979750801E-18</v>
      </c>
      <c r="B884">
        <v>0.36412012766936702</v>
      </c>
      <c r="C884">
        <v>0.53500000000000003</v>
      </c>
      <c r="D884">
        <v>0.16200000000000001</v>
      </c>
      <c r="E884">
        <v>5.12522384164481E-14</v>
      </c>
      <c r="F884">
        <v>1</v>
      </c>
      <c r="G884" t="s">
        <v>2648</v>
      </c>
      <c r="H884" t="s">
        <v>2649</v>
      </c>
      <c r="I884" t="s">
        <v>2648</v>
      </c>
      <c r="J884" s="1" t="str">
        <f>HYPERLINK("https://zfin.org/ZDB-GENE-041010-201")</f>
        <v>https://zfin.org/ZDB-GENE-041010-201</v>
      </c>
      <c r="K884" t="s">
        <v>2650</v>
      </c>
    </row>
    <row r="885" spans="1:11" x14ac:dyDescent="0.2">
      <c r="A885">
        <v>3.6188441894605399E-18</v>
      </c>
      <c r="B885">
        <v>0.45621575712144202</v>
      </c>
      <c r="C885">
        <v>0.98199999999999998</v>
      </c>
      <c r="D885">
        <v>0.751</v>
      </c>
      <c r="E885">
        <v>5.6030564585417497E-14</v>
      </c>
      <c r="F885">
        <v>1</v>
      </c>
      <c r="G885" t="s">
        <v>2651</v>
      </c>
      <c r="H885" t="s">
        <v>2652</v>
      </c>
      <c r="I885" t="s">
        <v>2651</v>
      </c>
      <c r="J885" s="1" t="str">
        <f>HYPERLINK("https://zfin.org/ZDB-GENE-020731-4")</f>
        <v>https://zfin.org/ZDB-GENE-020731-4</v>
      </c>
      <c r="K885" t="s">
        <v>2653</v>
      </c>
    </row>
    <row r="886" spans="1:11" x14ac:dyDescent="0.2">
      <c r="A886">
        <v>3.81013667143384E-18</v>
      </c>
      <c r="B886">
        <v>-1.45835847521759</v>
      </c>
      <c r="C886">
        <v>0.158</v>
      </c>
      <c r="D886">
        <v>0.53900000000000003</v>
      </c>
      <c r="E886">
        <v>5.89923460838101E-14</v>
      </c>
      <c r="F886">
        <v>1</v>
      </c>
      <c r="G886" t="s">
        <v>2654</v>
      </c>
      <c r="H886" t="s">
        <v>2655</v>
      </c>
      <c r="I886" t="s">
        <v>2654</v>
      </c>
      <c r="J886" s="1" t="str">
        <f>HYPERLINK("https://zfin.org/ZDB-GENE-141212-380")</f>
        <v>https://zfin.org/ZDB-GENE-141212-380</v>
      </c>
      <c r="K886" t="s">
        <v>2656</v>
      </c>
    </row>
    <row r="887" spans="1:11" x14ac:dyDescent="0.2">
      <c r="A887">
        <v>4.8820259556411098E-18</v>
      </c>
      <c r="B887">
        <v>-1.1079645358596399</v>
      </c>
      <c r="C887">
        <v>0.40400000000000003</v>
      </c>
      <c r="D887">
        <v>0.66400000000000003</v>
      </c>
      <c r="E887">
        <v>7.5588407871191301E-14</v>
      </c>
      <c r="F887">
        <v>1</v>
      </c>
      <c r="G887" t="s">
        <v>2657</v>
      </c>
      <c r="H887" t="s">
        <v>2658</v>
      </c>
      <c r="I887" t="s">
        <v>2657</v>
      </c>
      <c r="J887" s="1" t="str">
        <f>HYPERLINK("https://zfin.org/ZDB-GENE-000208-17")</f>
        <v>https://zfin.org/ZDB-GENE-000208-17</v>
      </c>
      <c r="K887" t="s">
        <v>2659</v>
      </c>
    </row>
    <row r="888" spans="1:11" x14ac:dyDescent="0.2">
      <c r="A888">
        <v>5.0012922669723401E-18</v>
      </c>
      <c r="B888">
        <v>0.485787675048867</v>
      </c>
      <c r="C888">
        <v>0.91200000000000003</v>
      </c>
      <c r="D888">
        <v>0.439</v>
      </c>
      <c r="E888">
        <v>7.7435008169532695E-14</v>
      </c>
      <c r="F888">
        <v>1</v>
      </c>
      <c r="G888" t="s">
        <v>2660</v>
      </c>
      <c r="H888" t="s">
        <v>2661</v>
      </c>
      <c r="I888" t="s">
        <v>2660</v>
      </c>
      <c r="J888" s="1" t="str">
        <f>HYPERLINK("https://zfin.org/ZDB-GENE-001219-1")</f>
        <v>https://zfin.org/ZDB-GENE-001219-1</v>
      </c>
      <c r="K888" t="s">
        <v>2662</v>
      </c>
    </row>
    <row r="889" spans="1:11" x14ac:dyDescent="0.2">
      <c r="A889">
        <v>6.55753556569968E-18</v>
      </c>
      <c r="B889">
        <v>0.47530622255259097</v>
      </c>
      <c r="C889">
        <v>0.81599999999999995</v>
      </c>
      <c r="D889">
        <v>0.33900000000000002</v>
      </c>
      <c r="E889">
        <v>1.01530323163728E-13</v>
      </c>
      <c r="F889">
        <v>1</v>
      </c>
      <c r="G889" t="s">
        <v>2663</v>
      </c>
      <c r="H889" t="s">
        <v>2664</v>
      </c>
      <c r="I889" t="s">
        <v>2663</v>
      </c>
      <c r="J889" s="1" t="str">
        <f>HYPERLINK("https://zfin.org/ZDB-GENE-030516-2")</f>
        <v>https://zfin.org/ZDB-GENE-030516-2</v>
      </c>
      <c r="K889" t="s">
        <v>2665</v>
      </c>
    </row>
    <row r="890" spans="1:11" x14ac:dyDescent="0.2">
      <c r="A890">
        <v>7.8519656739916098E-18</v>
      </c>
      <c r="B890">
        <v>-1.2098913095552799</v>
      </c>
      <c r="C890">
        <v>0.17499999999999999</v>
      </c>
      <c r="D890">
        <v>0.55500000000000005</v>
      </c>
      <c r="E890">
        <v>1.21571984530412E-13</v>
      </c>
      <c r="F890">
        <v>1</v>
      </c>
      <c r="G890" t="s">
        <v>2666</v>
      </c>
      <c r="H890" t="s">
        <v>2667</v>
      </c>
      <c r="I890" t="s">
        <v>2666</v>
      </c>
      <c r="J890" s="1" t="str">
        <f>HYPERLINK("https://zfin.org/ZDB-GENE-040426-1362")</f>
        <v>https://zfin.org/ZDB-GENE-040426-1362</v>
      </c>
      <c r="K890" t="s">
        <v>2668</v>
      </c>
    </row>
    <row r="891" spans="1:11" x14ac:dyDescent="0.2">
      <c r="A891">
        <v>7.9722068672121696E-18</v>
      </c>
      <c r="B891">
        <v>0.31045035493377299</v>
      </c>
      <c r="C891">
        <v>0.68400000000000005</v>
      </c>
      <c r="D891">
        <v>0.23</v>
      </c>
      <c r="E891">
        <v>1.2343367892504601E-13</v>
      </c>
      <c r="F891">
        <v>1</v>
      </c>
      <c r="G891" t="s">
        <v>2669</v>
      </c>
      <c r="H891" t="s">
        <v>2670</v>
      </c>
      <c r="I891" t="s">
        <v>2669</v>
      </c>
      <c r="J891" s="1" t="str">
        <f>HYPERLINK("https://zfin.org/ZDB-GENE-050227-18")</f>
        <v>https://zfin.org/ZDB-GENE-050227-18</v>
      </c>
      <c r="K891" t="s">
        <v>2671</v>
      </c>
    </row>
    <row r="892" spans="1:11" x14ac:dyDescent="0.2">
      <c r="A892">
        <v>9.4865940505412195E-18</v>
      </c>
      <c r="B892">
        <v>-1.4052182260717201</v>
      </c>
      <c r="C892">
        <v>0.254</v>
      </c>
      <c r="D892">
        <v>0.58099999999999996</v>
      </c>
      <c r="E892">
        <v>1.4688093568452999E-13</v>
      </c>
      <c r="F892">
        <v>1</v>
      </c>
      <c r="G892" t="s">
        <v>2672</v>
      </c>
      <c r="H892" t="s">
        <v>2673</v>
      </c>
      <c r="I892" t="s">
        <v>2672</v>
      </c>
      <c r="J892" s="1" t="str">
        <f>HYPERLINK("https://zfin.org/ZDB-GENE-040426-2720")</f>
        <v>https://zfin.org/ZDB-GENE-040426-2720</v>
      </c>
      <c r="K892" t="s">
        <v>2674</v>
      </c>
    </row>
    <row r="893" spans="1:11" x14ac:dyDescent="0.2">
      <c r="A893">
        <v>9.6628158062875401E-18</v>
      </c>
      <c r="B893">
        <v>0.33996707998923398</v>
      </c>
      <c r="C893">
        <v>0.47399999999999998</v>
      </c>
      <c r="D893">
        <v>0.13900000000000001</v>
      </c>
      <c r="E893">
        <v>1.4960937712875001E-13</v>
      </c>
      <c r="F893">
        <v>1</v>
      </c>
      <c r="G893" t="s">
        <v>2675</v>
      </c>
      <c r="H893" t="s">
        <v>2676</v>
      </c>
      <c r="I893" t="s">
        <v>2675</v>
      </c>
      <c r="J893" s="1" t="str">
        <f>HYPERLINK("https://zfin.org/ZDB-GENE-060825-263")</f>
        <v>https://zfin.org/ZDB-GENE-060825-263</v>
      </c>
      <c r="K893" t="s">
        <v>2677</v>
      </c>
    </row>
    <row r="894" spans="1:11" x14ac:dyDescent="0.2">
      <c r="A894">
        <v>1.02472152140671E-17</v>
      </c>
      <c r="B894">
        <v>0.336173789779868</v>
      </c>
      <c r="C894">
        <v>0.623</v>
      </c>
      <c r="D894">
        <v>0.20599999999999999</v>
      </c>
      <c r="E894">
        <v>1.5865763315940099E-13</v>
      </c>
      <c r="F894">
        <v>1</v>
      </c>
      <c r="G894" t="s">
        <v>2678</v>
      </c>
      <c r="H894" t="s">
        <v>2679</v>
      </c>
      <c r="I894" t="s">
        <v>2678</v>
      </c>
      <c r="J894" s="1" t="str">
        <f>HYPERLINK("https://zfin.org/ZDB-GENE-030131-4091")</f>
        <v>https://zfin.org/ZDB-GENE-030131-4091</v>
      </c>
      <c r="K894" t="s">
        <v>2680</v>
      </c>
    </row>
    <row r="895" spans="1:11" x14ac:dyDescent="0.2">
      <c r="A895">
        <v>1.2965634842926299E-17</v>
      </c>
      <c r="B895">
        <v>-1.7741274144255601</v>
      </c>
      <c r="C895">
        <v>0.219</v>
      </c>
      <c r="D895">
        <v>0.55900000000000005</v>
      </c>
      <c r="E895">
        <v>2.0074692427302701E-13</v>
      </c>
      <c r="F895">
        <v>1</v>
      </c>
      <c r="G895" t="s">
        <v>2681</v>
      </c>
      <c r="H895" t="s">
        <v>2682</v>
      </c>
      <c r="I895" t="s">
        <v>2681</v>
      </c>
      <c r="J895" s="1" t="str">
        <f>HYPERLINK("https://zfin.org/ZDB-GENE-030131-2159")</f>
        <v>https://zfin.org/ZDB-GENE-030131-2159</v>
      </c>
      <c r="K895" t="s">
        <v>2683</v>
      </c>
    </row>
    <row r="896" spans="1:11" x14ac:dyDescent="0.2">
      <c r="A896">
        <v>1.60555190630116E-17</v>
      </c>
      <c r="B896">
        <v>0.32536256866545699</v>
      </c>
      <c r="C896">
        <v>0.43</v>
      </c>
      <c r="D896">
        <v>0.11700000000000001</v>
      </c>
      <c r="E896">
        <v>2.4858760165260799E-13</v>
      </c>
      <c r="F896">
        <v>1</v>
      </c>
      <c r="G896" t="s">
        <v>2684</v>
      </c>
      <c r="H896" t="s">
        <v>2685</v>
      </c>
      <c r="I896" t="s">
        <v>2684</v>
      </c>
      <c r="J896" s="1" t="str">
        <f>HYPERLINK("https://zfin.org/ZDB-GENE-050320-11")</f>
        <v>https://zfin.org/ZDB-GENE-050320-11</v>
      </c>
      <c r="K896" t="s">
        <v>2686</v>
      </c>
    </row>
    <row r="897" spans="1:11" x14ac:dyDescent="0.2">
      <c r="A897">
        <v>1.78399958463687E-17</v>
      </c>
      <c r="B897">
        <v>-1.01589430986134</v>
      </c>
      <c r="C897">
        <v>0.58799999999999997</v>
      </c>
      <c r="D897">
        <v>0.71199999999999997</v>
      </c>
      <c r="E897">
        <v>2.7621665568932598E-13</v>
      </c>
      <c r="F897">
        <v>1</v>
      </c>
      <c r="G897" t="s">
        <v>2687</v>
      </c>
      <c r="H897" t="s">
        <v>2688</v>
      </c>
      <c r="I897" t="s">
        <v>2687</v>
      </c>
      <c r="J897" s="1" t="str">
        <f>HYPERLINK("https://zfin.org/ZDB-GENE-040718-260")</f>
        <v>https://zfin.org/ZDB-GENE-040718-260</v>
      </c>
      <c r="K897" t="s">
        <v>2689</v>
      </c>
    </row>
    <row r="898" spans="1:11" x14ac:dyDescent="0.2">
      <c r="A898">
        <v>1.8269537929658401E-17</v>
      </c>
      <c r="B898">
        <v>-1.14970376438343</v>
      </c>
      <c r="C898">
        <v>0.193</v>
      </c>
      <c r="D898">
        <v>0.55200000000000005</v>
      </c>
      <c r="E898">
        <v>2.82867255764901E-13</v>
      </c>
      <c r="F898">
        <v>1</v>
      </c>
      <c r="G898" t="s">
        <v>2690</v>
      </c>
      <c r="H898" t="s">
        <v>2691</v>
      </c>
      <c r="I898" t="s">
        <v>2690</v>
      </c>
      <c r="J898" s="1" t="str">
        <f>HYPERLINK("https://zfin.org/ZDB-GENE-110411-217")</f>
        <v>https://zfin.org/ZDB-GENE-110411-217</v>
      </c>
      <c r="K898" t="s">
        <v>2692</v>
      </c>
    </row>
    <row r="899" spans="1:11" x14ac:dyDescent="0.2">
      <c r="A899">
        <v>1.94071040436509E-17</v>
      </c>
      <c r="B899">
        <v>0.27212961529491497</v>
      </c>
      <c r="C899">
        <v>0.246</v>
      </c>
      <c r="D899">
        <v>4.3999999999999997E-2</v>
      </c>
      <c r="E899">
        <v>3.0048019190784702E-13</v>
      </c>
      <c r="F899">
        <v>1</v>
      </c>
      <c r="G899" t="s">
        <v>2693</v>
      </c>
      <c r="H899" t="s">
        <v>2694</v>
      </c>
      <c r="I899" t="s">
        <v>2693</v>
      </c>
      <c r="J899" s="1" t="str">
        <f>HYPERLINK("https://zfin.org/ZDB-GENE-080204-119")</f>
        <v>https://zfin.org/ZDB-GENE-080204-119</v>
      </c>
      <c r="K899" t="s">
        <v>2695</v>
      </c>
    </row>
    <row r="900" spans="1:11" x14ac:dyDescent="0.2">
      <c r="A900">
        <v>2.07922579044897E-17</v>
      </c>
      <c r="B900">
        <v>0.31135782025449799</v>
      </c>
      <c r="C900">
        <v>0.26300000000000001</v>
      </c>
      <c r="D900">
        <v>5.1999999999999998E-2</v>
      </c>
      <c r="E900">
        <v>3.21926529135214E-13</v>
      </c>
      <c r="F900">
        <v>1</v>
      </c>
      <c r="G900" t="s">
        <v>2696</v>
      </c>
      <c r="H900" t="s">
        <v>2697</v>
      </c>
      <c r="I900" t="s">
        <v>2696</v>
      </c>
      <c r="J900" s="1" t="str">
        <f>HYPERLINK("https://zfin.org/ZDB-GENE-070912-417")</f>
        <v>https://zfin.org/ZDB-GENE-070912-417</v>
      </c>
      <c r="K900" t="s">
        <v>2698</v>
      </c>
    </row>
    <row r="901" spans="1:11" x14ac:dyDescent="0.2">
      <c r="A901">
        <v>2.29998294220585E-17</v>
      </c>
      <c r="B901">
        <v>0.33334731612491098</v>
      </c>
      <c r="C901">
        <v>0.36799999999999999</v>
      </c>
      <c r="D901">
        <v>9.2999999999999999E-2</v>
      </c>
      <c r="E901">
        <v>3.5610635894173099E-13</v>
      </c>
      <c r="F901">
        <v>1</v>
      </c>
      <c r="G901" t="s">
        <v>2699</v>
      </c>
      <c r="H901" t="s">
        <v>2700</v>
      </c>
      <c r="I901" t="s">
        <v>2699</v>
      </c>
      <c r="J901" s="1" t="str">
        <f>HYPERLINK("https://zfin.org/ZDB-GENE-040516-12")</f>
        <v>https://zfin.org/ZDB-GENE-040516-12</v>
      </c>
      <c r="K901" t="s">
        <v>2701</v>
      </c>
    </row>
    <row r="902" spans="1:11" x14ac:dyDescent="0.2">
      <c r="A902">
        <v>2.3361529087134599E-17</v>
      </c>
      <c r="B902">
        <v>0.43075586158025703</v>
      </c>
      <c r="C902">
        <v>0.78100000000000003</v>
      </c>
      <c r="D902">
        <v>0.311</v>
      </c>
      <c r="E902">
        <v>3.61706554856104E-13</v>
      </c>
      <c r="F902">
        <v>1</v>
      </c>
      <c r="G902" t="s">
        <v>2702</v>
      </c>
      <c r="H902" t="s">
        <v>2703</v>
      </c>
      <c r="I902" t="s">
        <v>2702</v>
      </c>
      <c r="J902" s="1" t="str">
        <f>HYPERLINK("https://zfin.org/ZDB-GENE-040426-1792")</f>
        <v>https://zfin.org/ZDB-GENE-040426-1792</v>
      </c>
      <c r="K902" t="s">
        <v>2704</v>
      </c>
    </row>
    <row r="903" spans="1:11" x14ac:dyDescent="0.2">
      <c r="A903">
        <v>2.7641619634314199E-17</v>
      </c>
      <c r="B903">
        <v>0.47654651438934298</v>
      </c>
      <c r="C903">
        <v>0.96499999999999997</v>
      </c>
      <c r="D903">
        <v>0.54500000000000004</v>
      </c>
      <c r="E903">
        <v>4.2797519679808701E-13</v>
      </c>
      <c r="F903">
        <v>1</v>
      </c>
      <c r="G903" t="s">
        <v>2705</v>
      </c>
      <c r="H903" t="s">
        <v>2706</v>
      </c>
      <c r="I903" t="s">
        <v>2705</v>
      </c>
      <c r="J903" s="1" t="str">
        <f>HYPERLINK("https://zfin.org/ZDB-GENE-030131-5175")</f>
        <v>https://zfin.org/ZDB-GENE-030131-5175</v>
      </c>
      <c r="K903" t="s">
        <v>2707</v>
      </c>
    </row>
    <row r="904" spans="1:11" x14ac:dyDescent="0.2">
      <c r="A904">
        <v>2.8182844520689798E-17</v>
      </c>
      <c r="B904">
        <v>0.39985016204474899</v>
      </c>
      <c r="C904">
        <v>0.66700000000000004</v>
      </c>
      <c r="D904">
        <v>0.245</v>
      </c>
      <c r="E904">
        <v>4.3635498171384002E-13</v>
      </c>
      <c r="F904">
        <v>1</v>
      </c>
      <c r="G904" t="s">
        <v>2708</v>
      </c>
      <c r="H904" t="s">
        <v>2709</v>
      </c>
      <c r="I904" t="s">
        <v>2708</v>
      </c>
      <c r="J904" s="1" t="str">
        <f>HYPERLINK("https://zfin.org/ZDB-GENE-040912-101")</f>
        <v>https://zfin.org/ZDB-GENE-040912-101</v>
      </c>
      <c r="K904" t="s">
        <v>2710</v>
      </c>
    </row>
    <row r="905" spans="1:11" x14ac:dyDescent="0.2">
      <c r="A905">
        <v>4.1624439228055897E-17</v>
      </c>
      <c r="B905">
        <v>0.34587017142883097</v>
      </c>
      <c r="C905">
        <v>0.439</v>
      </c>
      <c r="D905">
        <v>0.124</v>
      </c>
      <c r="E905">
        <v>6.4447119256798997E-13</v>
      </c>
      <c r="F905">
        <v>1</v>
      </c>
      <c r="G905" t="s">
        <v>2711</v>
      </c>
      <c r="H905" t="s">
        <v>2712</v>
      </c>
      <c r="I905" t="s">
        <v>2711</v>
      </c>
      <c r="J905" s="1" t="str">
        <f>HYPERLINK("https://zfin.org/ZDB-GENE-040801-136")</f>
        <v>https://zfin.org/ZDB-GENE-040801-136</v>
      </c>
      <c r="K905" t="s">
        <v>2713</v>
      </c>
    </row>
    <row r="906" spans="1:11" x14ac:dyDescent="0.2">
      <c r="A906">
        <v>4.3663150990927697E-17</v>
      </c>
      <c r="B906">
        <v>0.286192981581674</v>
      </c>
      <c r="C906">
        <v>0.20200000000000001</v>
      </c>
      <c r="D906">
        <v>3.1E-2</v>
      </c>
      <c r="E906">
        <v>6.7603656679253398E-13</v>
      </c>
      <c r="F906">
        <v>1</v>
      </c>
      <c r="G906" t="s">
        <v>2714</v>
      </c>
      <c r="H906" t="s">
        <v>2715</v>
      </c>
      <c r="I906" t="s">
        <v>2714</v>
      </c>
      <c r="J906" s="1" t="str">
        <f>HYPERLINK("https://zfin.org/ZDB-GENE-040426-1042")</f>
        <v>https://zfin.org/ZDB-GENE-040426-1042</v>
      </c>
      <c r="K906" t="s">
        <v>2716</v>
      </c>
    </row>
    <row r="907" spans="1:11" x14ac:dyDescent="0.2">
      <c r="A907">
        <v>4.4982456355202898E-17</v>
      </c>
      <c r="B907">
        <v>0.387559100922925</v>
      </c>
      <c r="C907">
        <v>1</v>
      </c>
      <c r="D907">
        <v>0.995</v>
      </c>
      <c r="E907">
        <v>6.9646337174760598E-13</v>
      </c>
      <c r="F907">
        <v>1</v>
      </c>
      <c r="G907" t="s">
        <v>2717</v>
      </c>
      <c r="H907" t="s">
        <v>2718</v>
      </c>
      <c r="I907" t="s">
        <v>2717</v>
      </c>
      <c r="J907" s="1" t="str">
        <f>HYPERLINK("https://zfin.org/ZDB-GENE-011205-16")</f>
        <v>https://zfin.org/ZDB-GENE-011205-16</v>
      </c>
      <c r="K907" t="s">
        <v>2719</v>
      </c>
    </row>
    <row r="908" spans="1:11" x14ac:dyDescent="0.2">
      <c r="A908">
        <v>4.8940803886616001E-17</v>
      </c>
      <c r="B908">
        <v>-0.456949811912429</v>
      </c>
      <c r="C908">
        <v>0.98199999999999998</v>
      </c>
      <c r="D908">
        <v>0.96399999999999997</v>
      </c>
      <c r="E908">
        <v>7.5775046657647504E-13</v>
      </c>
      <c r="F908">
        <v>1</v>
      </c>
      <c r="G908" t="s">
        <v>2720</v>
      </c>
      <c r="H908" t="s">
        <v>2721</v>
      </c>
      <c r="I908" t="s">
        <v>2722</v>
      </c>
      <c r="J908" s="1" t="str">
        <f>HYPERLINK("https://zfin.org/ZDB-GENE-050417-65")</f>
        <v>https://zfin.org/ZDB-GENE-050417-65</v>
      </c>
      <c r="K908" t="s">
        <v>2723</v>
      </c>
    </row>
    <row r="909" spans="1:11" x14ac:dyDescent="0.2">
      <c r="A909">
        <v>5.3894996372214602E-17</v>
      </c>
      <c r="B909">
        <v>0.28084060913745901</v>
      </c>
      <c r="C909">
        <v>0.48199999999999998</v>
      </c>
      <c r="D909">
        <v>0.14099999999999999</v>
      </c>
      <c r="E909">
        <v>8.3445622883099896E-13</v>
      </c>
      <c r="F909">
        <v>1</v>
      </c>
      <c r="G909" t="s">
        <v>2724</v>
      </c>
      <c r="H909" t="s">
        <v>2725</v>
      </c>
      <c r="I909" t="s">
        <v>2724</v>
      </c>
      <c r="J909" s="1" t="str">
        <f>HYPERLINK("https://zfin.org/ZDB-GENE-030131-2299")</f>
        <v>https://zfin.org/ZDB-GENE-030131-2299</v>
      </c>
      <c r="K909" t="s">
        <v>2726</v>
      </c>
    </row>
    <row r="910" spans="1:11" x14ac:dyDescent="0.2">
      <c r="A910">
        <v>5.4532407290397402E-17</v>
      </c>
      <c r="B910">
        <v>-1.2131412657232701</v>
      </c>
      <c r="C910">
        <v>0.73699999999999999</v>
      </c>
      <c r="D910">
        <v>0.82699999999999996</v>
      </c>
      <c r="E910">
        <v>8.4432526207722295E-13</v>
      </c>
      <c r="F910">
        <v>1</v>
      </c>
      <c r="G910" t="s">
        <v>2727</v>
      </c>
      <c r="H910" t="s">
        <v>2728</v>
      </c>
      <c r="I910" t="s">
        <v>2727</v>
      </c>
      <c r="J910" s="1" t="str">
        <f>HYPERLINK("https://zfin.org/")</f>
        <v>https://zfin.org/</v>
      </c>
      <c r="K910" t="s">
        <v>2729</v>
      </c>
    </row>
    <row r="911" spans="1:11" x14ac:dyDescent="0.2">
      <c r="A911">
        <v>6.3397175096698898E-17</v>
      </c>
      <c r="B911">
        <v>0.27850646508511101</v>
      </c>
      <c r="C911">
        <v>0.307</v>
      </c>
      <c r="D911">
        <v>6.8000000000000005E-2</v>
      </c>
      <c r="E911">
        <v>9.8157846202218896E-13</v>
      </c>
      <c r="F911">
        <v>1</v>
      </c>
      <c r="G911" t="s">
        <v>2730</v>
      </c>
      <c r="H911" t="s">
        <v>2731</v>
      </c>
      <c r="I911" t="s">
        <v>2730</v>
      </c>
      <c r="J911" s="1" t="str">
        <f>HYPERLINK("https://zfin.org/ZDB-GENE-050227-20")</f>
        <v>https://zfin.org/ZDB-GENE-050227-20</v>
      </c>
      <c r="K911" t="s">
        <v>2732</v>
      </c>
    </row>
    <row r="912" spans="1:11" x14ac:dyDescent="0.2">
      <c r="A912">
        <v>8.1310031022867794E-17</v>
      </c>
      <c r="B912">
        <v>0.42657014251428899</v>
      </c>
      <c r="C912">
        <v>0.78100000000000003</v>
      </c>
      <c r="D912">
        <v>0.32</v>
      </c>
      <c r="E912">
        <v>1.25892321032706E-12</v>
      </c>
      <c r="F912">
        <v>1</v>
      </c>
      <c r="G912" t="s">
        <v>2733</v>
      </c>
      <c r="H912" t="s">
        <v>2734</v>
      </c>
      <c r="I912" t="s">
        <v>2733</v>
      </c>
      <c r="J912" s="1" t="str">
        <f>HYPERLINK("https://zfin.org/ZDB-GENE-040912-86")</f>
        <v>https://zfin.org/ZDB-GENE-040912-86</v>
      </c>
      <c r="K912" t="s">
        <v>2735</v>
      </c>
    </row>
    <row r="913" spans="1:11" x14ac:dyDescent="0.2">
      <c r="A913">
        <v>8.4538404938575104E-17</v>
      </c>
      <c r="B913">
        <v>0.42437423856266399</v>
      </c>
      <c r="C913">
        <v>0.57899999999999996</v>
      </c>
      <c r="D913">
        <v>0.20899999999999999</v>
      </c>
      <c r="E913">
        <v>1.30890812366396E-12</v>
      </c>
      <c r="F913">
        <v>1</v>
      </c>
      <c r="G913" t="s">
        <v>2736</v>
      </c>
      <c r="H913" t="s">
        <v>2737</v>
      </c>
      <c r="I913" t="s">
        <v>2736</v>
      </c>
      <c r="J913" s="1" t="str">
        <f>HYPERLINK("https://zfin.org/ZDB-GENE-040426-1861")</f>
        <v>https://zfin.org/ZDB-GENE-040426-1861</v>
      </c>
      <c r="K913" t="s">
        <v>2738</v>
      </c>
    </row>
    <row r="914" spans="1:11" x14ac:dyDescent="0.2">
      <c r="A914">
        <v>9.1429343289010095E-17</v>
      </c>
      <c r="B914">
        <v>-1.33501876812656</v>
      </c>
      <c r="C914">
        <v>0.64</v>
      </c>
      <c r="D914">
        <v>0.73299999999999998</v>
      </c>
      <c r="E914">
        <v>1.4156005221437399E-12</v>
      </c>
      <c r="F914">
        <v>1</v>
      </c>
      <c r="G914" t="s">
        <v>2739</v>
      </c>
      <c r="H914" t="s">
        <v>2740</v>
      </c>
      <c r="I914" t="s">
        <v>2739</v>
      </c>
      <c r="J914" s="1" t="str">
        <f>HYPERLINK("https://zfin.org/ZDB-GENE-030131-8575")</f>
        <v>https://zfin.org/ZDB-GENE-030131-8575</v>
      </c>
      <c r="K914" t="s">
        <v>2741</v>
      </c>
    </row>
    <row r="915" spans="1:11" x14ac:dyDescent="0.2">
      <c r="A915">
        <v>9.2618433501910296E-17</v>
      </c>
      <c r="B915">
        <v>0.25892886549760602</v>
      </c>
      <c r="C915">
        <v>0.45600000000000002</v>
      </c>
      <c r="D915">
        <v>0.128</v>
      </c>
      <c r="E915">
        <v>1.43401120591008E-12</v>
      </c>
      <c r="F915">
        <v>1</v>
      </c>
      <c r="G915" t="s">
        <v>2742</v>
      </c>
      <c r="H915" t="s">
        <v>2743</v>
      </c>
      <c r="I915" t="s">
        <v>2742</v>
      </c>
      <c r="J915" s="1" t="str">
        <f>HYPERLINK("https://zfin.org/ZDB-GENE-050419-195")</f>
        <v>https://zfin.org/ZDB-GENE-050419-195</v>
      </c>
      <c r="K915" t="s">
        <v>2744</v>
      </c>
    </row>
    <row r="916" spans="1:11" x14ac:dyDescent="0.2">
      <c r="A916">
        <v>9.6362876081956198E-17</v>
      </c>
      <c r="B916">
        <v>0.41780470947171</v>
      </c>
      <c r="C916">
        <v>0.93899999999999995</v>
      </c>
      <c r="D916">
        <v>0.47499999999999998</v>
      </c>
      <c r="E916">
        <v>1.49198641037693E-12</v>
      </c>
      <c r="F916">
        <v>1</v>
      </c>
      <c r="G916" t="s">
        <v>2745</v>
      </c>
      <c r="H916" t="s">
        <v>2746</v>
      </c>
      <c r="I916" t="s">
        <v>2745</v>
      </c>
      <c r="J916" s="1" t="str">
        <f>HYPERLINK("https://zfin.org/ZDB-GENE-040625-168")</f>
        <v>https://zfin.org/ZDB-GENE-040625-168</v>
      </c>
      <c r="K916" t="s">
        <v>2747</v>
      </c>
    </row>
    <row r="917" spans="1:11" x14ac:dyDescent="0.2">
      <c r="A917">
        <v>1.2545436762394701E-16</v>
      </c>
      <c r="B917">
        <v>0.39570642941074902</v>
      </c>
      <c r="C917">
        <v>0.86</v>
      </c>
      <c r="D917">
        <v>0.36299999999999999</v>
      </c>
      <c r="E917">
        <v>1.9424099739215798E-12</v>
      </c>
      <c r="F917">
        <v>1</v>
      </c>
      <c r="G917" t="s">
        <v>2748</v>
      </c>
      <c r="H917" t="s">
        <v>2749</v>
      </c>
      <c r="I917" t="s">
        <v>2748</v>
      </c>
      <c r="J917" s="1" t="str">
        <f>HYPERLINK("https://zfin.org/ZDB-GENE-050309-25")</f>
        <v>https://zfin.org/ZDB-GENE-050309-25</v>
      </c>
      <c r="K917" t="s">
        <v>2750</v>
      </c>
    </row>
    <row r="918" spans="1:11" x14ac:dyDescent="0.2">
      <c r="A918">
        <v>1.2966303901847201E-16</v>
      </c>
      <c r="B918">
        <v>0.256649861740195</v>
      </c>
      <c r="C918">
        <v>0.28899999999999998</v>
      </c>
      <c r="D918">
        <v>6.3E-2</v>
      </c>
      <c r="E918">
        <v>2.0075728331230099E-12</v>
      </c>
      <c r="F918">
        <v>1</v>
      </c>
      <c r="G918" t="s">
        <v>2751</v>
      </c>
      <c r="H918" t="s">
        <v>2752</v>
      </c>
      <c r="I918" t="s">
        <v>2751</v>
      </c>
      <c r="J918" s="1" t="str">
        <f>HYPERLINK("https://zfin.org/ZDB-GENE-060825-166")</f>
        <v>https://zfin.org/ZDB-GENE-060825-166</v>
      </c>
      <c r="K918" t="s">
        <v>2753</v>
      </c>
    </row>
    <row r="919" spans="1:11" x14ac:dyDescent="0.2">
      <c r="A919">
        <v>1.3106475983665899E-16</v>
      </c>
      <c r="B919">
        <v>0.41290653090705398</v>
      </c>
      <c r="C919">
        <v>0.99099999999999999</v>
      </c>
      <c r="D919">
        <v>0.89600000000000002</v>
      </c>
      <c r="E919">
        <v>2.0292756765509898E-12</v>
      </c>
      <c r="F919">
        <v>1</v>
      </c>
      <c r="G919" t="s">
        <v>2754</v>
      </c>
      <c r="H919" t="s">
        <v>2755</v>
      </c>
      <c r="I919" t="s">
        <v>2754</v>
      </c>
      <c r="J919" s="1" t="str">
        <f>HYPERLINK("https://zfin.org/ZDB-GENE-991110-23")</f>
        <v>https://zfin.org/ZDB-GENE-991110-23</v>
      </c>
      <c r="K919" t="s">
        <v>2756</v>
      </c>
    </row>
    <row r="920" spans="1:11" x14ac:dyDescent="0.2">
      <c r="A920">
        <v>1.34645433699146E-16</v>
      </c>
      <c r="B920">
        <v>0.302173554769542</v>
      </c>
      <c r="C920">
        <v>0.439</v>
      </c>
      <c r="D920">
        <v>0.124</v>
      </c>
      <c r="E920">
        <v>2.08471524996388E-12</v>
      </c>
      <c r="F920">
        <v>1</v>
      </c>
      <c r="G920" t="s">
        <v>2757</v>
      </c>
      <c r="H920" t="s">
        <v>2758</v>
      </c>
      <c r="I920" t="s">
        <v>2757</v>
      </c>
      <c r="J920" s="1" t="str">
        <f>HYPERLINK("https://zfin.org/ZDB-GENE-030131-1390")</f>
        <v>https://zfin.org/ZDB-GENE-030131-1390</v>
      </c>
      <c r="K920" t="s">
        <v>2759</v>
      </c>
    </row>
    <row r="921" spans="1:11" x14ac:dyDescent="0.2">
      <c r="A921">
        <v>1.4633634645873099E-16</v>
      </c>
      <c r="B921">
        <v>0.31731295954785999</v>
      </c>
      <c r="C921">
        <v>0.40400000000000003</v>
      </c>
      <c r="D921">
        <v>0.112</v>
      </c>
      <c r="E921">
        <v>2.2657256522205201E-12</v>
      </c>
      <c r="F921">
        <v>1</v>
      </c>
      <c r="G921" t="s">
        <v>2760</v>
      </c>
      <c r="H921" t="s">
        <v>2761</v>
      </c>
      <c r="I921" t="s">
        <v>2760</v>
      </c>
      <c r="J921" s="1" t="str">
        <f>HYPERLINK("https://zfin.org/ZDB-GENE-030131-5299")</f>
        <v>https://zfin.org/ZDB-GENE-030131-5299</v>
      </c>
      <c r="K921" t="s">
        <v>2762</v>
      </c>
    </row>
    <row r="922" spans="1:11" x14ac:dyDescent="0.2">
      <c r="A922">
        <v>1.55468816924338E-16</v>
      </c>
      <c r="B922">
        <v>-0.70368654864926705</v>
      </c>
      <c r="C922">
        <v>0.86</v>
      </c>
      <c r="D922">
        <v>0.82399999999999995</v>
      </c>
      <c r="E922">
        <v>2.40712369243952E-12</v>
      </c>
      <c r="F922">
        <v>1</v>
      </c>
      <c r="G922" t="s">
        <v>2763</v>
      </c>
      <c r="H922" t="s">
        <v>2764</v>
      </c>
      <c r="I922" t="s">
        <v>2763</v>
      </c>
      <c r="J922" s="1" t="str">
        <f>HYPERLINK("https://zfin.org/ZDB-GENE-040426-1706")</f>
        <v>https://zfin.org/ZDB-GENE-040426-1706</v>
      </c>
      <c r="K922" t="s">
        <v>2765</v>
      </c>
    </row>
    <row r="923" spans="1:11" x14ac:dyDescent="0.2">
      <c r="A923">
        <v>1.8132831317371701E-16</v>
      </c>
      <c r="B923">
        <v>-1.2743289648634399</v>
      </c>
      <c r="C923">
        <v>0.193</v>
      </c>
      <c r="D923">
        <v>0.54100000000000004</v>
      </c>
      <c r="E923">
        <v>2.80750627286866E-12</v>
      </c>
      <c r="F923">
        <v>1</v>
      </c>
      <c r="G923" t="s">
        <v>2766</v>
      </c>
      <c r="H923" t="s">
        <v>2767</v>
      </c>
      <c r="I923" t="s">
        <v>2766</v>
      </c>
      <c r="J923" s="1" t="str">
        <f>HYPERLINK("https://zfin.org/ZDB-GENE-041114-138")</f>
        <v>https://zfin.org/ZDB-GENE-041114-138</v>
      </c>
      <c r="K923" t="s">
        <v>2768</v>
      </c>
    </row>
    <row r="924" spans="1:11" x14ac:dyDescent="0.2">
      <c r="A924">
        <v>1.93233152584559E-16</v>
      </c>
      <c r="B924">
        <v>-1.1540638284913001</v>
      </c>
      <c r="C924">
        <v>0.439</v>
      </c>
      <c r="D924">
        <v>0.65200000000000002</v>
      </c>
      <c r="E924">
        <v>2.9918289014667301E-12</v>
      </c>
      <c r="F924">
        <v>1</v>
      </c>
      <c r="G924" t="s">
        <v>2769</v>
      </c>
      <c r="H924" t="s">
        <v>2770</v>
      </c>
      <c r="I924" t="s">
        <v>2769</v>
      </c>
      <c r="J924" s="1" t="str">
        <f>HYPERLINK("https://zfin.org/ZDB-GENE-011109-1")</f>
        <v>https://zfin.org/ZDB-GENE-011109-1</v>
      </c>
      <c r="K924" t="s">
        <v>2771</v>
      </c>
    </row>
    <row r="925" spans="1:11" x14ac:dyDescent="0.2">
      <c r="A925">
        <v>2.2708477217828301E-16</v>
      </c>
      <c r="B925">
        <v>0.25269859861817701</v>
      </c>
      <c r="C925">
        <v>0.5</v>
      </c>
      <c r="D925">
        <v>0.151</v>
      </c>
      <c r="E925">
        <v>3.51595352763635E-12</v>
      </c>
      <c r="F925">
        <v>1</v>
      </c>
      <c r="G925" t="s">
        <v>2772</v>
      </c>
      <c r="H925" t="s">
        <v>2773</v>
      </c>
      <c r="I925" t="s">
        <v>2772</v>
      </c>
      <c r="J925" s="1" t="str">
        <f>HYPERLINK("https://zfin.org/ZDB-GENE-001229-2")</f>
        <v>https://zfin.org/ZDB-GENE-001229-2</v>
      </c>
      <c r="K925" t="s">
        <v>2774</v>
      </c>
    </row>
    <row r="926" spans="1:11" x14ac:dyDescent="0.2">
      <c r="A926">
        <v>2.3160083091750702E-16</v>
      </c>
      <c r="B926">
        <v>0.29444095796488801</v>
      </c>
      <c r="C926">
        <v>0.439</v>
      </c>
      <c r="D926">
        <v>0.124</v>
      </c>
      <c r="E926">
        <v>3.5858756650957602E-12</v>
      </c>
      <c r="F926">
        <v>1</v>
      </c>
      <c r="G926" t="s">
        <v>2775</v>
      </c>
      <c r="H926" t="s">
        <v>2776</v>
      </c>
      <c r="I926" t="s">
        <v>2775</v>
      </c>
      <c r="J926" s="1" t="str">
        <f>HYPERLINK("https://zfin.org/ZDB-GENE-030131-7917")</f>
        <v>https://zfin.org/ZDB-GENE-030131-7917</v>
      </c>
      <c r="K926" t="s">
        <v>2777</v>
      </c>
    </row>
    <row r="927" spans="1:11" x14ac:dyDescent="0.2">
      <c r="A927">
        <v>2.4748108298657102E-16</v>
      </c>
      <c r="B927">
        <v>0.28441690580741602</v>
      </c>
      <c r="C927">
        <v>0.316</v>
      </c>
      <c r="D927">
        <v>7.2999999999999995E-2</v>
      </c>
      <c r="E927">
        <v>3.8317496078810803E-12</v>
      </c>
      <c r="F927">
        <v>1</v>
      </c>
      <c r="G927" t="s">
        <v>2778</v>
      </c>
      <c r="H927" t="s">
        <v>2779</v>
      </c>
      <c r="I927" t="s">
        <v>2778</v>
      </c>
      <c r="J927" s="1" t="str">
        <f>HYPERLINK("https://zfin.org/ZDB-GENE-150416-1")</f>
        <v>https://zfin.org/ZDB-GENE-150416-1</v>
      </c>
      <c r="K927" t="s">
        <v>2780</v>
      </c>
    </row>
    <row r="928" spans="1:11" x14ac:dyDescent="0.2">
      <c r="A928">
        <v>2.6879025842793701E-16</v>
      </c>
      <c r="B928">
        <v>0.37953436071400898</v>
      </c>
      <c r="C928">
        <v>0.59599999999999997</v>
      </c>
      <c r="D928">
        <v>0.20899999999999999</v>
      </c>
      <c r="E928">
        <v>4.16167957123976E-12</v>
      </c>
      <c r="F928">
        <v>1</v>
      </c>
      <c r="G928" t="s">
        <v>2781</v>
      </c>
      <c r="H928" t="s">
        <v>2782</v>
      </c>
      <c r="I928" t="s">
        <v>2781</v>
      </c>
      <c r="J928" s="1" t="str">
        <f>HYPERLINK("https://zfin.org/ZDB-GENE-030131-2365")</f>
        <v>https://zfin.org/ZDB-GENE-030131-2365</v>
      </c>
      <c r="K928" t="s">
        <v>2783</v>
      </c>
    </row>
    <row r="929" spans="1:11" x14ac:dyDescent="0.2">
      <c r="A929">
        <v>2.8118690169383302E-16</v>
      </c>
      <c r="B929">
        <v>0.485604290384682</v>
      </c>
      <c r="C929">
        <v>0.98199999999999998</v>
      </c>
      <c r="D929">
        <v>0.63200000000000001</v>
      </c>
      <c r="E929">
        <v>4.3536167989256099E-12</v>
      </c>
      <c r="F929">
        <v>1</v>
      </c>
      <c r="G929" t="s">
        <v>2784</v>
      </c>
      <c r="H929" t="s">
        <v>2785</v>
      </c>
      <c r="I929" t="s">
        <v>2784</v>
      </c>
      <c r="J929" s="1" t="str">
        <f>HYPERLINK("https://zfin.org/ZDB-GENE-040426-1916")</f>
        <v>https://zfin.org/ZDB-GENE-040426-1916</v>
      </c>
      <c r="K929" t="s">
        <v>2786</v>
      </c>
    </row>
    <row r="930" spans="1:11" x14ac:dyDescent="0.2">
      <c r="A930">
        <v>2.8646347466564302E-16</v>
      </c>
      <c r="B930">
        <v>0.47585275416280498</v>
      </c>
      <c r="C930">
        <v>0.95599999999999996</v>
      </c>
      <c r="D930">
        <v>0.54700000000000004</v>
      </c>
      <c r="E930">
        <v>4.4353139782481499E-12</v>
      </c>
      <c r="F930">
        <v>1</v>
      </c>
      <c r="G930" t="s">
        <v>2787</v>
      </c>
      <c r="H930" t="s">
        <v>2788</v>
      </c>
      <c r="I930" t="s">
        <v>2787</v>
      </c>
      <c r="J930" s="1" t="str">
        <f>HYPERLINK("https://zfin.org/ZDB-GENE-040426-2534")</f>
        <v>https://zfin.org/ZDB-GENE-040426-2534</v>
      </c>
      <c r="K930" t="s">
        <v>2789</v>
      </c>
    </row>
    <row r="931" spans="1:11" x14ac:dyDescent="0.2">
      <c r="A931">
        <v>3.4538297220924999E-16</v>
      </c>
      <c r="B931">
        <v>0.34939568287744599</v>
      </c>
      <c r="C931">
        <v>0.623</v>
      </c>
      <c r="D931">
        <v>0.224</v>
      </c>
      <c r="E931">
        <v>5.3475645587158099E-12</v>
      </c>
      <c r="F931">
        <v>1</v>
      </c>
      <c r="G931" t="s">
        <v>2790</v>
      </c>
      <c r="H931" t="s">
        <v>2791</v>
      </c>
      <c r="I931" t="s">
        <v>2790</v>
      </c>
      <c r="J931" s="1" t="str">
        <f>HYPERLINK("https://zfin.org/ZDB-GENE-030131-7785")</f>
        <v>https://zfin.org/ZDB-GENE-030131-7785</v>
      </c>
      <c r="K931" t="s">
        <v>2792</v>
      </c>
    </row>
    <row r="932" spans="1:11" x14ac:dyDescent="0.2">
      <c r="A932">
        <v>4.5228149009114701E-16</v>
      </c>
      <c r="B932">
        <v>-1.4243782573666499</v>
      </c>
      <c r="C932">
        <v>0.23699999999999999</v>
      </c>
      <c r="D932">
        <v>0.55600000000000005</v>
      </c>
      <c r="E932">
        <v>7.0026743110812396E-12</v>
      </c>
      <c r="F932">
        <v>1</v>
      </c>
      <c r="G932" t="s">
        <v>2793</v>
      </c>
      <c r="H932" t="s">
        <v>2794</v>
      </c>
      <c r="I932" t="s">
        <v>2793</v>
      </c>
      <c r="J932" s="1" t="str">
        <f>HYPERLINK("https://zfin.org/ZDB-GENE-050320-109")</f>
        <v>https://zfin.org/ZDB-GENE-050320-109</v>
      </c>
      <c r="K932" t="s">
        <v>2795</v>
      </c>
    </row>
    <row r="933" spans="1:11" x14ac:dyDescent="0.2">
      <c r="A933">
        <v>4.7216491746168598E-16</v>
      </c>
      <c r="B933">
        <v>0.30590894866086399</v>
      </c>
      <c r="C933">
        <v>0.46500000000000002</v>
      </c>
      <c r="D933">
        <v>0.14000000000000001</v>
      </c>
      <c r="E933">
        <v>7.3105294170592903E-12</v>
      </c>
      <c r="F933">
        <v>1</v>
      </c>
      <c r="G933" t="s">
        <v>2796</v>
      </c>
      <c r="H933" t="s">
        <v>2797</v>
      </c>
      <c r="I933" t="s">
        <v>2796</v>
      </c>
      <c r="J933" s="1" t="str">
        <f>HYPERLINK("https://zfin.org/ZDB-GENE-040426-1686")</f>
        <v>https://zfin.org/ZDB-GENE-040426-1686</v>
      </c>
      <c r="K933" t="s">
        <v>2798</v>
      </c>
    </row>
    <row r="934" spans="1:11" x14ac:dyDescent="0.2">
      <c r="A934">
        <v>4.7587793350189105E-16</v>
      </c>
      <c r="B934">
        <v>-1.34909040637836</v>
      </c>
      <c r="C934">
        <v>0.46500000000000002</v>
      </c>
      <c r="D934">
        <v>0.65100000000000002</v>
      </c>
      <c r="E934">
        <v>7.3680180444097802E-12</v>
      </c>
      <c r="F934">
        <v>1</v>
      </c>
      <c r="G934" t="s">
        <v>2799</v>
      </c>
      <c r="H934" t="s">
        <v>2800</v>
      </c>
      <c r="I934" t="s">
        <v>2799</v>
      </c>
      <c r="J934" s="1" t="str">
        <f>HYPERLINK("https://zfin.org/ZDB-GENE-040426-2931")</f>
        <v>https://zfin.org/ZDB-GENE-040426-2931</v>
      </c>
      <c r="K934" t="s">
        <v>2801</v>
      </c>
    </row>
    <row r="935" spans="1:11" x14ac:dyDescent="0.2">
      <c r="A935">
        <v>4.9020438021071102E-16</v>
      </c>
      <c r="B935">
        <v>0.36673724389192203</v>
      </c>
      <c r="C935">
        <v>0.91200000000000003</v>
      </c>
      <c r="D935">
        <v>0.40200000000000002</v>
      </c>
      <c r="E935">
        <v>7.5898344188024304E-12</v>
      </c>
      <c r="F935">
        <v>1</v>
      </c>
      <c r="G935" t="s">
        <v>2802</v>
      </c>
      <c r="H935" t="s">
        <v>2803</v>
      </c>
      <c r="I935" t="s">
        <v>2802</v>
      </c>
      <c r="J935" s="1" t="str">
        <f>HYPERLINK("https://zfin.org/ZDB-GENE-050320-17")</f>
        <v>https://zfin.org/ZDB-GENE-050320-17</v>
      </c>
      <c r="K935" t="s">
        <v>2804</v>
      </c>
    </row>
    <row r="936" spans="1:11" x14ac:dyDescent="0.2">
      <c r="A936">
        <v>4.90334018182306E-16</v>
      </c>
      <c r="B936">
        <v>0.258520633398995</v>
      </c>
      <c r="C936">
        <v>0.29799999999999999</v>
      </c>
      <c r="D936">
        <v>6.8000000000000005E-2</v>
      </c>
      <c r="E936">
        <v>7.5918416035166499E-12</v>
      </c>
      <c r="F936">
        <v>1</v>
      </c>
      <c r="G936" t="s">
        <v>2805</v>
      </c>
      <c r="H936" t="s">
        <v>2806</v>
      </c>
      <c r="I936" t="s">
        <v>2805</v>
      </c>
      <c r="J936" s="1" t="str">
        <f>HYPERLINK("https://zfin.org/ZDB-GENE-120214-26")</f>
        <v>https://zfin.org/ZDB-GENE-120214-26</v>
      </c>
      <c r="K936" t="s">
        <v>2807</v>
      </c>
    </row>
    <row r="937" spans="1:11" x14ac:dyDescent="0.2">
      <c r="A937">
        <v>5.6667319806435801E-16</v>
      </c>
      <c r="B937">
        <v>0.42608842169878303</v>
      </c>
      <c r="C937">
        <v>0.99099999999999999</v>
      </c>
      <c r="D937">
        <v>0.64600000000000002</v>
      </c>
      <c r="E937">
        <v>8.7738011256304605E-12</v>
      </c>
      <c r="F937">
        <v>1</v>
      </c>
      <c r="G937" t="s">
        <v>2808</v>
      </c>
      <c r="H937" t="s">
        <v>2809</v>
      </c>
      <c r="I937" t="s">
        <v>2808</v>
      </c>
      <c r="J937" s="1" t="str">
        <f>HYPERLINK("https://zfin.org/ZDB-GENE-131120-154")</f>
        <v>https://zfin.org/ZDB-GENE-131120-154</v>
      </c>
      <c r="K937" t="s">
        <v>2810</v>
      </c>
    </row>
    <row r="938" spans="1:11" x14ac:dyDescent="0.2">
      <c r="A938">
        <v>6.5631150355191203E-16</v>
      </c>
      <c r="B938">
        <v>-1.11343571034597</v>
      </c>
      <c r="C938">
        <v>0.41199999999999998</v>
      </c>
      <c r="D938">
        <v>0.623</v>
      </c>
      <c r="E938">
        <v>1.01616710094942E-11</v>
      </c>
      <c r="F938">
        <v>1</v>
      </c>
      <c r="G938" t="s">
        <v>2811</v>
      </c>
      <c r="H938" t="s">
        <v>2812</v>
      </c>
      <c r="I938" t="s">
        <v>2811</v>
      </c>
      <c r="J938" s="1" t="str">
        <f>HYPERLINK("https://zfin.org/ZDB-GENE-031113-9")</f>
        <v>https://zfin.org/ZDB-GENE-031113-9</v>
      </c>
      <c r="K938" t="s">
        <v>2813</v>
      </c>
    </row>
    <row r="939" spans="1:11" x14ac:dyDescent="0.2">
      <c r="A939">
        <v>7.4969578523814695E-16</v>
      </c>
      <c r="B939">
        <v>-1.2194720268264101</v>
      </c>
      <c r="C939">
        <v>0.26300000000000001</v>
      </c>
      <c r="D939">
        <v>0.57099999999999995</v>
      </c>
      <c r="E939">
        <v>1.16075398428422E-11</v>
      </c>
      <c r="F939">
        <v>1</v>
      </c>
      <c r="G939" t="s">
        <v>2814</v>
      </c>
      <c r="H939" t="s">
        <v>2815</v>
      </c>
      <c r="I939" t="s">
        <v>2814</v>
      </c>
      <c r="J939" s="1" t="str">
        <f>HYPERLINK("https://zfin.org/ZDB-GENE-051023-8")</f>
        <v>https://zfin.org/ZDB-GENE-051023-8</v>
      </c>
      <c r="K939" t="s">
        <v>2816</v>
      </c>
    </row>
    <row r="940" spans="1:11" x14ac:dyDescent="0.2">
      <c r="A940">
        <v>7.9155548619994196E-16</v>
      </c>
      <c r="B940">
        <v>-0.87291135775962503</v>
      </c>
      <c r="C940">
        <v>1</v>
      </c>
      <c r="D940">
        <v>0.98</v>
      </c>
      <c r="E940">
        <v>1.22556535928337E-11</v>
      </c>
      <c r="F940">
        <v>1</v>
      </c>
      <c r="G940" t="s">
        <v>2817</v>
      </c>
      <c r="H940" t="s">
        <v>2818</v>
      </c>
      <c r="I940" t="s">
        <v>2817</v>
      </c>
      <c r="J940" s="1" t="str">
        <f>HYPERLINK("https://zfin.org/ZDB-GENE-031222-4")</f>
        <v>https://zfin.org/ZDB-GENE-031222-4</v>
      </c>
      <c r="K940" t="s">
        <v>2819</v>
      </c>
    </row>
    <row r="941" spans="1:11" x14ac:dyDescent="0.2">
      <c r="A941">
        <v>8.0128543173589896E-16</v>
      </c>
      <c r="B941">
        <v>0.35393686100113098</v>
      </c>
      <c r="C941">
        <v>0.623</v>
      </c>
      <c r="D941">
        <v>0.22700000000000001</v>
      </c>
      <c r="E941">
        <v>1.24063023395669E-11</v>
      </c>
      <c r="F941">
        <v>1</v>
      </c>
      <c r="G941" t="s">
        <v>2820</v>
      </c>
      <c r="H941" t="s">
        <v>2821</v>
      </c>
      <c r="I941" t="s">
        <v>2820</v>
      </c>
      <c r="J941" s="1" t="str">
        <f>HYPERLINK("https://zfin.org/ZDB-GENE-040426-1713")</f>
        <v>https://zfin.org/ZDB-GENE-040426-1713</v>
      </c>
      <c r="K941" t="s">
        <v>2822</v>
      </c>
    </row>
    <row r="942" spans="1:11" x14ac:dyDescent="0.2">
      <c r="A942">
        <v>8.36626962656475E-16</v>
      </c>
      <c r="B942">
        <v>-0.89372533562029099</v>
      </c>
      <c r="C942">
        <v>0.86799999999999999</v>
      </c>
      <c r="D942">
        <v>0.81899999999999995</v>
      </c>
      <c r="E942">
        <v>1.29534952628102E-11</v>
      </c>
      <c r="F942">
        <v>1</v>
      </c>
      <c r="G942" t="s">
        <v>2823</v>
      </c>
      <c r="H942" t="s">
        <v>2824</v>
      </c>
      <c r="I942" t="s">
        <v>2823</v>
      </c>
      <c r="J942" s="1" t="str">
        <f>HYPERLINK("https://zfin.org/ZDB-GENE-141216-84")</f>
        <v>https://zfin.org/ZDB-GENE-141216-84</v>
      </c>
      <c r="K942" t="s">
        <v>2825</v>
      </c>
    </row>
    <row r="943" spans="1:11" x14ac:dyDescent="0.2">
      <c r="A943">
        <v>1.2759643747653499E-15</v>
      </c>
      <c r="B943">
        <v>-1.5564165629258599</v>
      </c>
      <c r="C943">
        <v>0.377</v>
      </c>
      <c r="D943">
        <v>0.60599999999999998</v>
      </c>
      <c r="E943">
        <v>1.9755756414491902E-11</v>
      </c>
      <c r="F943">
        <v>1</v>
      </c>
      <c r="G943" t="s">
        <v>2826</v>
      </c>
      <c r="H943" t="s">
        <v>2827</v>
      </c>
      <c r="I943" t="s">
        <v>2826</v>
      </c>
      <c r="J943" s="1" t="str">
        <f>HYPERLINK("https://zfin.org/ZDB-GENE-040426-2826")</f>
        <v>https://zfin.org/ZDB-GENE-040426-2826</v>
      </c>
      <c r="K943" t="s">
        <v>2828</v>
      </c>
    </row>
    <row r="944" spans="1:11" x14ac:dyDescent="0.2">
      <c r="A944">
        <v>1.4796337549618401E-15</v>
      </c>
      <c r="B944">
        <v>0.275671043438032</v>
      </c>
      <c r="C944">
        <v>0.307</v>
      </c>
      <c r="D944">
        <v>7.1999999999999995E-2</v>
      </c>
      <c r="E944">
        <v>2.29091694280742E-11</v>
      </c>
      <c r="F944">
        <v>1</v>
      </c>
      <c r="G944" t="s">
        <v>2829</v>
      </c>
      <c r="H944" t="s">
        <v>2830</v>
      </c>
      <c r="I944" t="s">
        <v>2829</v>
      </c>
      <c r="J944" s="1" t="str">
        <f>HYPERLINK("https://zfin.org/ZDB-GENE-100419-3")</f>
        <v>https://zfin.org/ZDB-GENE-100419-3</v>
      </c>
      <c r="K944" t="s">
        <v>2831</v>
      </c>
    </row>
    <row r="945" spans="1:11" x14ac:dyDescent="0.2">
      <c r="A945">
        <v>1.5301593469997599E-15</v>
      </c>
      <c r="B945">
        <v>0.30198196196758298</v>
      </c>
      <c r="C945">
        <v>0.57899999999999996</v>
      </c>
      <c r="D945">
        <v>0.19900000000000001</v>
      </c>
      <c r="E945">
        <v>2.3691457169597299E-11</v>
      </c>
      <c r="F945">
        <v>1</v>
      </c>
      <c r="G945" t="s">
        <v>2832</v>
      </c>
      <c r="H945" t="s">
        <v>2833</v>
      </c>
      <c r="I945" t="s">
        <v>2832</v>
      </c>
      <c r="J945" s="1" t="str">
        <f>HYPERLINK("https://zfin.org/ZDB-GENE-030616-617")</f>
        <v>https://zfin.org/ZDB-GENE-030616-617</v>
      </c>
      <c r="K945" t="s">
        <v>2834</v>
      </c>
    </row>
    <row r="946" spans="1:11" x14ac:dyDescent="0.2">
      <c r="A946">
        <v>1.5746798059428801E-15</v>
      </c>
      <c r="B946">
        <v>-0.93075771452812395</v>
      </c>
      <c r="C946">
        <v>0.746</v>
      </c>
      <c r="D946">
        <v>0.76200000000000001</v>
      </c>
      <c r="E946">
        <v>2.43807674354136E-11</v>
      </c>
      <c r="F946">
        <v>1</v>
      </c>
      <c r="G946" t="s">
        <v>2835</v>
      </c>
      <c r="H946" t="s">
        <v>2836</v>
      </c>
      <c r="I946" t="s">
        <v>2835</v>
      </c>
      <c r="J946" s="1" t="str">
        <f>HYPERLINK("https://zfin.org/ZDB-GENE-031118-36")</f>
        <v>https://zfin.org/ZDB-GENE-031118-36</v>
      </c>
      <c r="K946" t="s">
        <v>2837</v>
      </c>
    </row>
    <row r="947" spans="1:11" x14ac:dyDescent="0.2">
      <c r="A947">
        <v>1.71979938998912E-15</v>
      </c>
      <c r="B947">
        <v>-1.06138775691934</v>
      </c>
      <c r="C947">
        <v>0.27200000000000002</v>
      </c>
      <c r="D947">
        <v>0.56499999999999995</v>
      </c>
      <c r="E947">
        <v>2.66276539552015E-11</v>
      </c>
      <c r="F947">
        <v>1</v>
      </c>
      <c r="G947" t="s">
        <v>2838</v>
      </c>
      <c r="H947" t="s">
        <v>2839</v>
      </c>
      <c r="I947" t="s">
        <v>2838</v>
      </c>
      <c r="J947" s="1" t="str">
        <f>HYPERLINK("https://zfin.org/ZDB-GENE-040426-2881")</f>
        <v>https://zfin.org/ZDB-GENE-040426-2881</v>
      </c>
      <c r="K947" t="s">
        <v>2840</v>
      </c>
    </row>
    <row r="948" spans="1:11" x14ac:dyDescent="0.2">
      <c r="A948">
        <v>1.9591285299798799E-15</v>
      </c>
      <c r="B948">
        <v>0.28141197038368199</v>
      </c>
      <c r="C948">
        <v>0.21099999999999999</v>
      </c>
      <c r="D948">
        <v>3.7999999999999999E-2</v>
      </c>
      <c r="E948">
        <v>3.0333187029678502E-11</v>
      </c>
      <c r="F948">
        <v>1</v>
      </c>
      <c r="G948" t="s">
        <v>2841</v>
      </c>
      <c r="H948" t="s">
        <v>2842</v>
      </c>
      <c r="I948" t="s">
        <v>2841</v>
      </c>
      <c r="J948" s="1" t="str">
        <f>HYPERLINK("https://zfin.org/ZDB-GENE-050201-2")</f>
        <v>https://zfin.org/ZDB-GENE-050201-2</v>
      </c>
      <c r="K948" t="s">
        <v>2843</v>
      </c>
    </row>
    <row r="949" spans="1:11" x14ac:dyDescent="0.2">
      <c r="A949">
        <v>2.00725465711134E-15</v>
      </c>
      <c r="B949">
        <v>0.33959518761141</v>
      </c>
      <c r="C949">
        <v>0.754</v>
      </c>
      <c r="D949">
        <v>0.30299999999999999</v>
      </c>
      <c r="E949">
        <v>3.1078323856054902E-11</v>
      </c>
      <c r="F949">
        <v>1</v>
      </c>
      <c r="G949" t="s">
        <v>2844</v>
      </c>
      <c r="H949" t="s">
        <v>2845</v>
      </c>
      <c r="I949" t="s">
        <v>2844</v>
      </c>
      <c r="J949" s="1" t="str">
        <f>HYPERLINK("https://zfin.org/ZDB-GENE-040426-2152")</f>
        <v>https://zfin.org/ZDB-GENE-040426-2152</v>
      </c>
      <c r="K949" t="s">
        <v>2846</v>
      </c>
    </row>
    <row r="950" spans="1:11" x14ac:dyDescent="0.2">
      <c r="A950">
        <v>2.0286337777258198E-15</v>
      </c>
      <c r="B950">
        <v>0.33651376282756501</v>
      </c>
      <c r="C950">
        <v>0.64900000000000002</v>
      </c>
      <c r="D950">
        <v>0.23899999999999999</v>
      </c>
      <c r="E950">
        <v>3.1409336780528798E-11</v>
      </c>
      <c r="F950">
        <v>1</v>
      </c>
      <c r="G950" t="s">
        <v>2847</v>
      </c>
      <c r="H950" t="s">
        <v>2848</v>
      </c>
      <c r="I950" t="s">
        <v>2847</v>
      </c>
      <c r="J950" s="1" t="str">
        <f>HYPERLINK("https://zfin.org/ZDB-GENE-030826-18")</f>
        <v>https://zfin.org/ZDB-GENE-030826-18</v>
      </c>
      <c r="K950" t="s">
        <v>2849</v>
      </c>
    </row>
    <row r="951" spans="1:11" x14ac:dyDescent="0.2">
      <c r="A951">
        <v>2.1309501098147999E-15</v>
      </c>
      <c r="B951">
        <v>0.395260114062566</v>
      </c>
      <c r="C951">
        <v>1</v>
      </c>
      <c r="D951">
        <v>0.72399999999999998</v>
      </c>
      <c r="E951">
        <v>3.2993500550262598E-11</v>
      </c>
      <c r="F951">
        <v>1</v>
      </c>
      <c r="G951" t="s">
        <v>2850</v>
      </c>
      <c r="H951" t="s">
        <v>2851</v>
      </c>
      <c r="I951" t="s">
        <v>2850</v>
      </c>
      <c r="J951" s="1" t="str">
        <f>HYPERLINK("https://zfin.org/ZDB-GENE-110411-22")</f>
        <v>https://zfin.org/ZDB-GENE-110411-22</v>
      </c>
      <c r="K951" t="s">
        <v>2852</v>
      </c>
    </row>
    <row r="952" spans="1:11" x14ac:dyDescent="0.2">
      <c r="A952">
        <v>2.37454120974819E-15</v>
      </c>
      <c r="B952">
        <v>0.44818904017102801</v>
      </c>
      <c r="C952">
        <v>0.88600000000000001</v>
      </c>
      <c r="D952">
        <v>0.43099999999999999</v>
      </c>
      <c r="E952">
        <v>3.6765021550531201E-11</v>
      </c>
      <c r="F952">
        <v>1</v>
      </c>
      <c r="G952" t="s">
        <v>2853</v>
      </c>
      <c r="H952" t="s">
        <v>2854</v>
      </c>
      <c r="I952" t="s">
        <v>2853</v>
      </c>
      <c r="J952" s="1" t="str">
        <f>HYPERLINK("https://zfin.org/ZDB-GENE-020910-1")</f>
        <v>https://zfin.org/ZDB-GENE-020910-1</v>
      </c>
      <c r="K952" t="s">
        <v>2855</v>
      </c>
    </row>
    <row r="953" spans="1:11" x14ac:dyDescent="0.2">
      <c r="A953">
        <v>2.3959450193161999E-15</v>
      </c>
      <c r="B953">
        <v>0.29699420525504899</v>
      </c>
      <c r="C953">
        <v>0.50900000000000001</v>
      </c>
      <c r="D953">
        <v>0.16400000000000001</v>
      </c>
      <c r="E953">
        <v>3.7096416734072703E-11</v>
      </c>
      <c r="F953">
        <v>1</v>
      </c>
      <c r="G953" t="s">
        <v>2856</v>
      </c>
      <c r="H953" t="s">
        <v>2857</v>
      </c>
      <c r="I953" t="s">
        <v>2856</v>
      </c>
      <c r="J953" s="1" t="str">
        <f>HYPERLINK("https://zfin.org/ZDB-GENE-040801-63")</f>
        <v>https://zfin.org/ZDB-GENE-040801-63</v>
      </c>
      <c r="K953" t="s">
        <v>2858</v>
      </c>
    </row>
    <row r="954" spans="1:11" x14ac:dyDescent="0.2">
      <c r="A954">
        <v>2.4725626298436998E-15</v>
      </c>
      <c r="B954">
        <v>0.34204838806212601</v>
      </c>
      <c r="C954">
        <v>0.70199999999999996</v>
      </c>
      <c r="D954">
        <v>0.27600000000000002</v>
      </c>
      <c r="E954">
        <v>3.8282687197869903E-11</v>
      </c>
      <c r="F954">
        <v>1</v>
      </c>
      <c r="G954" t="s">
        <v>2859</v>
      </c>
      <c r="H954" t="s">
        <v>2860</v>
      </c>
      <c r="I954" t="s">
        <v>2859</v>
      </c>
      <c r="J954" s="1" t="str">
        <f>HYPERLINK("https://zfin.org/ZDB-GENE-041114-20")</f>
        <v>https://zfin.org/ZDB-GENE-041114-20</v>
      </c>
      <c r="K954" t="s">
        <v>2861</v>
      </c>
    </row>
    <row r="955" spans="1:11" x14ac:dyDescent="0.2">
      <c r="A955">
        <v>2.75961389385389E-15</v>
      </c>
      <c r="B955">
        <v>0.27114784365499101</v>
      </c>
      <c r="C955">
        <v>0.28100000000000003</v>
      </c>
      <c r="D955">
        <v>6.3E-2</v>
      </c>
      <c r="E955">
        <v>4.2727101918539697E-11</v>
      </c>
      <c r="F955">
        <v>1</v>
      </c>
      <c r="G955" t="s">
        <v>2862</v>
      </c>
      <c r="H955" t="s">
        <v>2863</v>
      </c>
      <c r="I955" t="s">
        <v>2862</v>
      </c>
      <c r="J955" s="1" t="str">
        <f>HYPERLINK("https://zfin.org/ZDB-GENE-051113-208")</f>
        <v>https://zfin.org/ZDB-GENE-051113-208</v>
      </c>
      <c r="K955" t="s">
        <v>2864</v>
      </c>
    </row>
    <row r="956" spans="1:11" x14ac:dyDescent="0.2">
      <c r="A956">
        <v>2.96432369305818E-15</v>
      </c>
      <c r="B956">
        <v>-0.93025351487016295</v>
      </c>
      <c r="C956">
        <v>0.66700000000000004</v>
      </c>
      <c r="D956">
        <v>0.72799999999999998</v>
      </c>
      <c r="E956">
        <v>4.58966237396199E-11</v>
      </c>
      <c r="F956">
        <v>1</v>
      </c>
      <c r="G956" t="s">
        <v>2865</v>
      </c>
      <c r="H956" t="s">
        <v>2866</v>
      </c>
      <c r="I956" t="s">
        <v>2865</v>
      </c>
      <c r="J956" s="1" t="str">
        <f>HYPERLINK("https://zfin.org/ZDB-GENE-030616-127")</f>
        <v>https://zfin.org/ZDB-GENE-030616-127</v>
      </c>
      <c r="K956" t="s">
        <v>2867</v>
      </c>
    </row>
    <row r="957" spans="1:11" x14ac:dyDescent="0.2">
      <c r="A957">
        <v>3.1247219562526702E-15</v>
      </c>
      <c r="B957">
        <v>0.32471197937237101</v>
      </c>
      <c r="C957">
        <v>0.61399999999999999</v>
      </c>
      <c r="D957">
        <v>0.222</v>
      </c>
      <c r="E957">
        <v>4.8380070048660102E-11</v>
      </c>
      <c r="F957">
        <v>1</v>
      </c>
      <c r="G957" t="s">
        <v>2868</v>
      </c>
      <c r="H957" t="s">
        <v>2869</v>
      </c>
      <c r="I957" t="s">
        <v>2868</v>
      </c>
      <c r="J957" s="1" t="str">
        <f>HYPERLINK("https://zfin.org/ZDB-GENE-040426-2719")</f>
        <v>https://zfin.org/ZDB-GENE-040426-2719</v>
      </c>
      <c r="K957" t="s">
        <v>2870</v>
      </c>
    </row>
    <row r="958" spans="1:11" x14ac:dyDescent="0.2">
      <c r="A958">
        <v>3.1259715339827898E-15</v>
      </c>
      <c r="B958">
        <v>0.28319567182420902</v>
      </c>
      <c r="C958">
        <v>0.33300000000000002</v>
      </c>
      <c r="D958">
        <v>8.5000000000000006E-2</v>
      </c>
      <c r="E958">
        <v>4.8399417260655599E-11</v>
      </c>
      <c r="F958">
        <v>1</v>
      </c>
      <c r="G958" t="s">
        <v>2871</v>
      </c>
      <c r="H958" t="s">
        <v>2872</v>
      </c>
      <c r="I958" t="s">
        <v>2871</v>
      </c>
      <c r="J958" s="1" t="str">
        <f>HYPERLINK("https://zfin.org/ZDB-GENE-041111-239")</f>
        <v>https://zfin.org/ZDB-GENE-041111-239</v>
      </c>
      <c r="K958" t="s">
        <v>2873</v>
      </c>
    </row>
    <row r="959" spans="1:11" x14ac:dyDescent="0.2">
      <c r="A959">
        <v>3.1821406972975001E-15</v>
      </c>
      <c r="B959">
        <v>0.25591506824912802</v>
      </c>
      <c r="C959">
        <v>0.26300000000000001</v>
      </c>
      <c r="D959">
        <v>5.7000000000000002E-2</v>
      </c>
      <c r="E959">
        <v>4.9269084416257197E-11</v>
      </c>
      <c r="F959">
        <v>1</v>
      </c>
      <c r="G959" t="s">
        <v>2874</v>
      </c>
      <c r="H959" t="s">
        <v>2875</v>
      </c>
      <c r="I959" t="s">
        <v>2874</v>
      </c>
      <c r="J959" s="1" t="str">
        <f>HYPERLINK("https://zfin.org/ZDB-GENE-091204-262")</f>
        <v>https://zfin.org/ZDB-GENE-091204-262</v>
      </c>
      <c r="K959" t="s">
        <v>2876</v>
      </c>
    </row>
    <row r="960" spans="1:11" x14ac:dyDescent="0.2">
      <c r="A960">
        <v>3.40170784847341E-15</v>
      </c>
      <c r="B960">
        <v>-0.84260129178477805</v>
      </c>
      <c r="C960">
        <v>0.746</v>
      </c>
      <c r="D960">
        <v>0.77100000000000002</v>
      </c>
      <c r="E960">
        <v>5.2668642617913801E-11</v>
      </c>
      <c r="F960">
        <v>1</v>
      </c>
      <c r="G960" t="s">
        <v>2877</v>
      </c>
      <c r="H960" t="s">
        <v>2878</v>
      </c>
      <c r="I960" t="s">
        <v>2877</v>
      </c>
      <c r="J960" s="1" t="str">
        <f>HYPERLINK("https://zfin.org/ZDB-GENE-030131-2085")</f>
        <v>https://zfin.org/ZDB-GENE-030131-2085</v>
      </c>
      <c r="K960" t="s">
        <v>2879</v>
      </c>
    </row>
    <row r="961" spans="1:11" x14ac:dyDescent="0.2">
      <c r="A961">
        <v>3.7230986267814999E-15</v>
      </c>
      <c r="B961">
        <v>0.30263096070555501</v>
      </c>
      <c r="C961">
        <v>0.51800000000000002</v>
      </c>
      <c r="D961">
        <v>0.17100000000000001</v>
      </c>
      <c r="E961">
        <v>5.7644736038457999E-11</v>
      </c>
      <c r="F961">
        <v>1</v>
      </c>
      <c r="G961" t="s">
        <v>2880</v>
      </c>
      <c r="H961" t="s">
        <v>2881</v>
      </c>
      <c r="I961" t="s">
        <v>2880</v>
      </c>
      <c r="J961" s="1" t="str">
        <f>HYPERLINK("https://zfin.org/ZDB-GENE-030131-670")</f>
        <v>https://zfin.org/ZDB-GENE-030131-670</v>
      </c>
      <c r="K961" t="s">
        <v>2882</v>
      </c>
    </row>
    <row r="962" spans="1:11" x14ac:dyDescent="0.2">
      <c r="A962">
        <v>3.7469147567725798E-15</v>
      </c>
      <c r="B962">
        <v>0.33107050573946201</v>
      </c>
      <c r="C962">
        <v>0.53500000000000003</v>
      </c>
      <c r="D962">
        <v>0.182</v>
      </c>
      <c r="E962">
        <v>5.8013481179109898E-11</v>
      </c>
      <c r="F962">
        <v>1</v>
      </c>
      <c r="G962" t="s">
        <v>2883</v>
      </c>
      <c r="H962" t="s">
        <v>2884</v>
      </c>
      <c r="I962" t="s">
        <v>2883</v>
      </c>
      <c r="J962" s="1" t="str">
        <f>HYPERLINK("https://zfin.org/ZDB-GENE-030131-1269")</f>
        <v>https://zfin.org/ZDB-GENE-030131-1269</v>
      </c>
      <c r="K962" t="s">
        <v>2885</v>
      </c>
    </row>
    <row r="963" spans="1:11" x14ac:dyDescent="0.2">
      <c r="A963">
        <v>4.0060848795812203E-15</v>
      </c>
      <c r="B963">
        <v>0.35201697667779103</v>
      </c>
      <c r="C963">
        <v>0.754</v>
      </c>
      <c r="D963">
        <v>0.30399999999999999</v>
      </c>
      <c r="E963">
        <v>6.2026212190555997E-11</v>
      </c>
      <c r="F963">
        <v>1</v>
      </c>
      <c r="G963" t="s">
        <v>2886</v>
      </c>
      <c r="H963" t="s">
        <v>2887</v>
      </c>
      <c r="I963" t="s">
        <v>2886</v>
      </c>
      <c r="J963" s="1" t="str">
        <f>HYPERLINK("https://zfin.org/ZDB-GENE-030131-4437")</f>
        <v>https://zfin.org/ZDB-GENE-030131-4437</v>
      </c>
      <c r="K963" t="s">
        <v>2888</v>
      </c>
    </row>
    <row r="964" spans="1:11" x14ac:dyDescent="0.2">
      <c r="A964">
        <v>4.1780553613871503E-15</v>
      </c>
      <c r="B964">
        <v>0.36948986104839499</v>
      </c>
      <c r="C964">
        <v>0.83299999999999996</v>
      </c>
      <c r="D964">
        <v>0.36599999999999999</v>
      </c>
      <c r="E964">
        <v>6.4688831160357197E-11</v>
      </c>
      <c r="F964">
        <v>1</v>
      </c>
      <c r="G964" t="s">
        <v>2889</v>
      </c>
      <c r="H964" t="s">
        <v>2890</v>
      </c>
      <c r="I964" t="s">
        <v>2889</v>
      </c>
      <c r="J964" s="1" t="str">
        <f>HYPERLINK("https://zfin.org/ZDB-GENE-040718-138")</f>
        <v>https://zfin.org/ZDB-GENE-040718-138</v>
      </c>
      <c r="K964" t="s">
        <v>2891</v>
      </c>
    </row>
    <row r="965" spans="1:11" x14ac:dyDescent="0.2">
      <c r="A965">
        <v>4.9646292671381299E-15</v>
      </c>
      <c r="B965">
        <v>-0.71727061535546999</v>
      </c>
      <c r="C965">
        <v>0.77200000000000002</v>
      </c>
      <c r="D965">
        <v>0.78</v>
      </c>
      <c r="E965">
        <v>7.6867354943099596E-11</v>
      </c>
      <c r="F965">
        <v>1</v>
      </c>
      <c r="G965" t="s">
        <v>2892</v>
      </c>
      <c r="H965" t="s">
        <v>2893</v>
      </c>
      <c r="I965" t="s">
        <v>2892</v>
      </c>
      <c r="J965" s="1" t="str">
        <f>HYPERLINK("https://zfin.org/ZDB-GENE-030131-9034")</f>
        <v>https://zfin.org/ZDB-GENE-030131-9034</v>
      </c>
      <c r="K965" t="s">
        <v>2894</v>
      </c>
    </row>
    <row r="966" spans="1:11" x14ac:dyDescent="0.2">
      <c r="A966">
        <v>5.0251456648974599E-15</v>
      </c>
      <c r="B966">
        <v>-1.1362346138128001</v>
      </c>
      <c r="C966">
        <v>0.13200000000000001</v>
      </c>
      <c r="D966">
        <v>0.47799999999999998</v>
      </c>
      <c r="E966">
        <v>7.7804330329607406E-11</v>
      </c>
      <c r="F966">
        <v>1</v>
      </c>
      <c r="G966" t="s">
        <v>2895</v>
      </c>
      <c r="H966" t="s">
        <v>2896</v>
      </c>
      <c r="I966" t="s">
        <v>2895</v>
      </c>
      <c r="J966" s="1" t="str">
        <f>HYPERLINK("https://zfin.org/ZDB-GENE-030131-373")</f>
        <v>https://zfin.org/ZDB-GENE-030131-373</v>
      </c>
      <c r="K966" t="s">
        <v>2897</v>
      </c>
    </row>
    <row r="967" spans="1:11" x14ac:dyDescent="0.2">
      <c r="A967">
        <v>5.2949640817450798E-15</v>
      </c>
      <c r="B967">
        <v>0.30014426202603001</v>
      </c>
      <c r="C967">
        <v>0.21099999999999999</v>
      </c>
      <c r="D967">
        <v>3.9E-2</v>
      </c>
      <c r="E967">
        <v>8.1981928877659102E-11</v>
      </c>
      <c r="F967">
        <v>1</v>
      </c>
      <c r="G967" t="s">
        <v>2898</v>
      </c>
      <c r="H967" t="s">
        <v>2899</v>
      </c>
      <c r="I967" t="s">
        <v>2898</v>
      </c>
      <c r="J967" s="1" t="str">
        <f>HYPERLINK("https://zfin.org/ZDB-GENE-110609-2")</f>
        <v>https://zfin.org/ZDB-GENE-110609-2</v>
      </c>
      <c r="K967" t="s">
        <v>2900</v>
      </c>
    </row>
    <row r="968" spans="1:11" x14ac:dyDescent="0.2">
      <c r="A968">
        <v>5.4371973314044301E-15</v>
      </c>
      <c r="B968">
        <v>0.26075855450796198</v>
      </c>
      <c r="C968">
        <v>0.72799999999999998</v>
      </c>
      <c r="D968">
        <v>0.27500000000000002</v>
      </c>
      <c r="E968">
        <v>8.4184126282134703E-11</v>
      </c>
      <c r="F968">
        <v>1</v>
      </c>
      <c r="G968" t="s">
        <v>2901</v>
      </c>
      <c r="H968" t="s">
        <v>2902</v>
      </c>
      <c r="I968" t="s">
        <v>2901</v>
      </c>
      <c r="J968" s="1" t="str">
        <f>HYPERLINK("https://zfin.org/ZDB-GENE-011205-12")</f>
        <v>https://zfin.org/ZDB-GENE-011205-12</v>
      </c>
      <c r="K968" t="s">
        <v>2903</v>
      </c>
    </row>
    <row r="969" spans="1:11" x14ac:dyDescent="0.2">
      <c r="A969">
        <v>5.7134575815413301E-15</v>
      </c>
      <c r="B969">
        <v>-0.80957408230459005</v>
      </c>
      <c r="C969">
        <v>0.61399999999999999</v>
      </c>
      <c r="D969">
        <v>0.72099999999999997</v>
      </c>
      <c r="E969">
        <v>8.8461463735004396E-11</v>
      </c>
      <c r="F969">
        <v>1</v>
      </c>
      <c r="G969" t="s">
        <v>2904</v>
      </c>
      <c r="H969" t="s">
        <v>2905</v>
      </c>
      <c r="I969" t="s">
        <v>2904</v>
      </c>
      <c r="J969" s="1" t="str">
        <f>HYPERLINK("https://zfin.org/ZDB-GENE-040426-1852")</f>
        <v>https://zfin.org/ZDB-GENE-040426-1852</v>
      </c>
      <c r="K969" t="s">
        <v>2906</v>
      </c>
    </row>
    <row r="970" spans="1:11" x14ac:dyDescent="0.2">
      <c r="A970">
        <v>6.4097146786531499E-15</v>
      </c>
      <c r="B970">
        <v>0.28035727461591298</v>
      </c>
      <c r="C970">
        <v>0.41199999999999998</v>
      </c>
      <c r="D970">
        <v>0.122</v>
      </c>
      <c r="E970">
        <v>9.92416123695867E-11</v>
      </c>
      <c r="F970">
        <v>1</v>
      </c>
      <c r="G970" t="s">
        <v>2907</v>
      </c>
      <c r="H970" t="s">
        <v>2908</v>
      </c>
      <c r="I970" t="s">
        <v>2907</v>
      </c>
      <c r="J970" s="1" t="str">
        <f>HYPERLINK("https://zfin.org/ZDB-GENE-030616-609")</f>
        <v>https://zfin.org/ZDB-GENE-030616-609</v>
      </c>
      <c r="K970" t="s">
        <v>2909</v>
      </c>
    </row>
    <row r="971" spans="1:11" x14ac:dyDescent="0.2">
      <c r="A971">
        <v>8.3831383728689904E-15</v>
      </c>
      <c r="B971">
        <v>0.27407165144798001</v>
      </c>
      <c r="C971">
        <v>0.53500000000000003</v>
      </c>
      <c r="D971">
        <v>0.17899999999999999</v>
      </c>
      <c r="E971">
        <v>1.29796131427131E-10</v>
      </c>
      <c r="F971">
        <v>1</v>
      </c>
      <c r="G971" t="s">
        <v>2910</v>
      </c>
      <c r="H971" t="s">
        <v>2911</v>
      </c>
      <c r="I971" t="s">
        <v>2910</v>
      </c>
      <c r="J971" s="1" t="str">
        <f>HYPERLINK("https://zfin.org/ZDB-GENE-040426-906")</f>
        <v>https://zfin.org/ZDB-GENE-040426-906</v>
      </c>
      <c r="K971" t="s">
        <v>2912</v>
      </c>
    </row>
    <row r="972" spans="1:11" x14ac:dyDescent="0.2">
      <c r="A972">
        <v>8.6896661447193294E-15</v>
      </c>
      <c r="B972">
        <v>0.34307177022391699</v>
      </c>
      <c r="C972">
        <v>0.27200000000000002</v>
      </c>
      <c r="D972">
        <v>6.3E-2</v>
      </c>
      <c r="E972">
        <v>1.34542100918689E-10</v>
      </c>
      <c r="F972">
        <v>1</v>
      </c>
      <c r="G972" t="s">
        <v>2913</v>
      </c>
      <c r="H972" t="s">
        <v>2914</v>
      </c>
      <c r="I972" t="s">
        <v>2913</v>
      </c>
      <c r="J972" s="1" t="str">
        <f>HYPERLINK("https://zfin.org/")</f>
        <v>https://zfin.org/</v>
      </c>
    </row>
    <row r="973" spans="1:11" x14ac:dyDescent="0.2">
      <c r="A973">
        <v>1.01618528460511E-14</v>
      </c>
      <c r="B973">
        <v>0.38938828011391902</v>
      </c>
      <c r="C973">
        <v>0.78900000000000003</v>
      </c>
      <c r="D973">
        <v>0.35499999999999998</v>
      </c>
      <c r="E973">
        <v>1.5733596761541E-10</v>
      </c>
      <c r="F973">
        <v>1</v>
      </c>
      <c r="G973" t="s">
        <v>2915</v>
      </c>
      <c r="H973" t="s">
        <v>2916</v>
      </c>
      <c r="I973" t="s">
        <v>2915</v>
      </c>
      <c r="J973" s="1" t="str">
        <f>HYPERLINK("https://zfin.org/ZDB-GENE-030131-5606")</f>
        <v>https://zfin.org/ZDB-GENE-030131-5606</v>
      </c>
      <c r="K973" t="s">
        <v>2917</v>
      </c>
    </row>
    <row r="974" spans="1:11" x14ac:dyDescent="0.2">
      <c r="A974">
        <v>1.0330653050088899E-14</v>
      </c>
      <c r="B974">
        <v>-0.95561396835128198</v>
      </c>
      <c r="C974">
        <v>7.9000000000000001E-2</v>
      </c>
      <c r="D974">
        <v>0.436</v>
      </c>
      <c r="E974">
        <v>1.5994950117452701E-10</v>
      </c>
      <c r="F974">
        <v>1</v>
      </c>
      <c r="G974" t="s">
        <v>2918</v>
      </c>
      <c r="H974" t="s">
        <v>2919</v>
      </c>
      <c r="I974" t="s">
        <v>2918</v>
      </c>
      <c r="J974" s="1" t="str">
        <f>HYPERLINK("https://zfin.org/ZDB-GENE-040930-3")</f>
        <v>https://zfin.org/ZDB-GENE-040930-3</v>
      </c>
      <c r="K974" t="s">
        <v>2920</v>
      </c>
    </row>
    <row r="975" spans="1:11" x14ac:dyDescent="0.2">
      <c r="A975">
        <v>1.11642808143138E-14</v>
      </c>
      <c r="B975">
        <v>-1.06643180082162</v>
      </c>
      <c r="C975">
        <v>0.316</v>
      </c>
      <c r="D975">
        <v>0.56899999999999995</v>
      </c>
      <c r="E975">
        <v>1.7285655984802E-10</v>
      </c>
      <c r="F975">
        <v>1</v>
      </c>
      <c r="G975" t="s">
        <v>2921</v>
      </c>
      <c r="H975" t="s">
        <v>2922</v>
      </c>
      <c r="I975" t="s">
        <v>2921</v>
      </c>
      <c r="J975" s="1" t="str">
        <f>HYPERLINK("https://zfin.org/ZDB-GENE-040426-2685")</f>
        <v>https://zfin.org/ZDB-GENE-040426-2685</v>
      </c>
      <c r="K975" t="s">
        <v>2923</v>
      </c>
    </row>
    <row r="976" spans="1:11" x14ac:dyDescent="0.2">
      <c r="A976">
        <v>1.37282374662477E-14</v>
      </c>
      <c r="B976">
        <v>-0.84445133262710004</v>
      </c>
      <c r="C976">
        <v>0.63200000000000001</v>
      </c>
      <c r="D976">
        <v>0.71099999999999997</v>
      </c>
      <c r="E976">
        <v>2.1255430068991299E-10</v>
      </c>
      <c r="F976">
        <v>1</v>
      </c>
      <c r="G976" t="s">
        <v>2924</v>
      </c>
      <c r="H976" t="s">
        <v>2925</v>
      </c>
      <c r="I976" t="s">
        <v>2924</v>
      </c>
      <c r="J976" s="1" t="str">
        <f>HYPERLINK("https://zfin.org/ZDB-GENE-001103-5")</f>
        <v>https://zfin.org/ZDB-GENE-001103-5</v>
      </c>
      <c r="K976" t="s">
        <v>2926</v>
      </c>
    </row>
    <row r="977" spans="1:11" x14ac:dyDescent="0.2">
      <c r="A977">
        <v>1.37907382770544E-14</v>
      </c>
      <c r="B977">
        <v>0.44375630131437399</v>
      </c>
      <c r="C977">
        <v>0.85099999999999998</v>
      </c>
      <c r="D977">
        <v>0.40200000000000002</v>
      </c>
      <c r="E977">
        <v>2.1352200074363301E-10</v>
      </c>
      <c r="F977">
        <v>1</v>
      </c>
      <c r="G977" t="s">
        <v>2927</v>
      </c>
      <c r="H977" t="s">
        <v>2928</v>
      </c>
      <c r="I977" t="s">
        <v>2927</v>
      </c>
      <c r="J977" s="1" t="str">
        <f>HYPERLINK("https://zfin.org/ZDB-GENE-040718-94")</f>
        <v>https://zfin.org/ZDB-GENE-040718-94</v>
      </c>
      <c r="K977" t="s">
        <v>2929</v>
      </c>
    </row>
    <row r="978" spans="1:11" x14ac:dyDescent="0.2">
      <c r="A978">
        <v>1.39642102984864E-14</v>
      </c>
      <c r="B978">
        <v>-1.5394966895459199</v>
      </c>
      <c r="C978">
        <v>0.316</v>
      </c>
      <c r="D978">
        <v>0.56899999999999995</v>
      </c>
      <c r="E978">
        <v>2.1620786805146599E-10</v>
      </c>
      <c r="F978">
        <v>1</v>
      </c>
      <c r="G978" t="s">
        <v>2930</v>
      </c>
      <c r="H978" t="s">
        <v>2931</v>
      </c>
      <c r="I978" t="s">
        <v>2930</v>
      </c>
      <c r="J978" s="1" t="str">
        <f>HYPERLINK("https://zfin.org/ZDB-GENE-031016-2")</f>
        <v>https://zfin.org/ZDB-GENE-031016-2</v>
      </c>
      <c r="K978" t="s">
        <v>2932</v>
      </c>
    </row>
    <row r="979" spans="1:11" x14ac:dyDescent="0.2">
      <c r="A979">
        <v>1.63844455455187E-14</v>
      </c>
      <c r="B979">
        <v>0.51902110738056295</v>
      </c>
      <c r="C979">
        <v>0.85099999999999998</v>
      </c>
      <c r="D979">
        <v>0.46400000000000002</v>
      </c>
      <c r="E979">
        <v>2.5368037038126599E-10</v>
      </c>
      <c r="F979">
        <v>1</v>
      </c>
      <c r="G979" t="s">
        <v>2933</v>
      </c>
      <c r="H979" t="s">
        <v>2934</v>
      </c>
      <c r="I979" t="s">
        <v>2933</v>
      </c>
      <c r="J979" s="1" t="str">
        <f>HYPERLINK("https://zfin.org/ZDB-GENE-040120-6")</f>
        <v>https://zfin.org/ZDB-GENE-040120-6</v>
      </c>
      <c r="K979" t="s">
        <v>2935</v>
      </c>
    </row>
    <row r="980" spans="1:11" x14ac:dyDescent="0.2">
      <c r="A980">
        <v>1.6623321351273199E-14</v>
      </c>
      <c r="B980">
        <v>0.28210282282356303</v>
      </c>
      <c r="C980">
        <v>0.246</v>
      </c>
      <c r="D980">
        <v>5.3999999999999999E-2</v>
      </c>
      <c r="E980">
        <v>2.57378884481764E-10</v>
      </c>
      <c r="F980">
        <v>1</v>
      </c>
      <c r="G980" t="s">
        <v>2936</v>
      </c>
      <c r="H980" t="s">
        <v>2937</v>
      </c>
      <c r="I980" t="s">
        <v>2936</v>
      </c>
      <c r="J980" s="1" t="str">
        <f>HYPERLINK("https://zfin.org/ZDB-GENE-041219-2")</f>
        <v>https://zfin.org/ZDB-GENE-041219-2</v>
      </c>
      <c r="K980" t="s">
        <v>2938</v>
      </c>
    </row>
    <row r="981" spans="1:11" x14ac:dyDescent="0.2">
      <c r="A981">
        <v>1.8027612678715401E-14</v>
      </c>
      <c r="B981">
        <v>0.26517845069938201</v>
      </c>
      <c r="C981">
        <v>0.39500000000000002</v>
      </c>
      <c r="D981">
        <v>0.115</v>
      </c>
      <c r="E981">
        <v>2.79121527104551E-10</v>
      </c>
      <c r="F981">
        <v>1</v>
      </c>
      <c r="G981" t="s">
        <v>2939</v>
      </c>
      <c r="H981" t="s">
        <v>2940</v>
      </c>
      <c r="I981" t="s">
        <v>2939</v>
      </c>
      <c r="J981" s="1" t="str">
        <f>HYPERLINK("https://zfin.org/ZDB-GENE-030616-262")</f>
        <v>https://zfin.org/ZDB-GENE-030616-262</v>
      </c>
      <c r="K981" t="s">
        <v>2941</v>
      </c>
    </row>
    <row r="982" spans="1:11" x14ac:dyDescent="0.2">
      <c r="A982">
        <v>1.8188433261937399E-14</v>
      </c>
      <c r="B982">
        <v>-0.99302916537344699</v>
      </c>
      <c r="C982">
        <v>7.0000000000000007E-2</v>
      </c>
      <c r="D982">
        <v>0.42199999999999999</v>
      </c>
      <c r="E982">
        <v>2.8161151219457699E-10</v>
      </c>
      <c r="F982">
        <v>1</v>
      </c>
      <c r="G982" t="s">
        <v>2942</v>
      </c>
      <c r="H982" t="s">
        <v>2943</v>
      </c>
      <c r="I982" t="s">
        <v>2942</v>
      </c>
      <c r="J982" s="1" t="str">
        <f>HYPERLINK("https://zfin.org/ZDB-GENE-041111-296")</f>
        <v>https://zfin.org/ZDB-GENE-041111-296</v>
      </c>
      <c r="K982" t="s">
        <v>2944</v>
      </c>
    </row>
    <row r="983" spans="1:11" x14ac:dyDescent="0.2">
      <c r="A983">
        <v>1.9909362701973501E-14</v>
      </c>
      <c r="B983">
        <v>-1.13931465988625</v>
      </c>
      <c r="C983">
        <v>5.2999999999999999E-2</v>
      </c>
      <c r="D983">
        <v>0.40799999999999997</v>
      </c>
      <c r="E983">
        <v>3.0825666271465601E-10</v>
      </c>
      <c r="F983">
        <v>1</v>
      </c>
      <c r="G983" t="s">
        <v>2945</v>
      </c>
      <c r="H983" t="s">
        <v>2946</v>
      </c>
      <c r="I983" t="s">
        <v>2945</v>
      </c>
      <c r="J983" s="1" t="str">
        <f>HYPERLINK("https://zfin.org/ZDB-GENE-040912-46")</f>
        <v>https://zfin.org/ZDB-GENE-040912-46</v>
      </c>
      <c r="K983" t="s">
        <v>2947</v>
      </c>
    </row>
    <row r="984" spans="1:11" x14ac:dyDescent="0.2">
      <c r="A984">
        <v>2.2579422369871001E-14</v>
      </c>
      <c r="B984">
        <v>-1.12614800959929</v>
      </c>
      <c r="C984">
        <v>0.21099999999999999</v>
      </c>
      <c r="D984">
        <v>0.52700000000000002</v>
      </c>
      <c r="E984">
        <v>3.4959719655271301E-10</v>
      </c>
      <c r="F984">
        <v>1</v>
      </c>
      <c r="G984" t="s">
        <v>2948</v>
      </c>
      <c r="H984" t="s">
        <v>2949</v>
      </c>
      <c r="I984" t="s">
        <v>2948</v>
      </c>
      <c r="J984" s="1" t="str">
        <f>HYPERLINK("https://zfin.org/ZDB-GENE-081022-158")</f>
        <v>https://zfin.org/ZDB-GENE-081022-158</v>
      </c>
      <c r="K984" t="s">
        <v>2950</v>
      </c>
    </row>
    <row r="985" spans="1:11" x14ac:dyDescent="0.2">
      <c r="A985">
        <v>2.39267501705268E-14</v>
      </c>
      <c r="B985">
        <v>0.38344993015120898</v>
      </c>
      <c r="C985">
        <v>0.86799999999999999</v>
      </c>
      <c r="D985">
        <v>0.41299999999999998</v>
      </c>
      <c r="E985">
        <v>3.7045787289026698E-10</v>
      </c>
      <c r="F985">
        <v>1</v>
      </c>
      <c r="G985" t="s">
        <v>2951</v>
      </c>
      <c r="H985" t="s">
        <v>2952</v>
      </c>
      <c r="I985" t="s">
        <v>2951</v>
      </c>
      <c r="J985" s="1" t="str">
        <f>HYPERLINK("https://zfin.org/ZDB-GENE-040426-1886")</f>
        <v>https://zfin.org/ZDB-GENE-040426-1886</v>
      </c>
      <c r="K985" t="s">
        <v>2953</v>
      </c>
    </row>
    <row r="986" spans="1:11" x14ac:dyDescent="0.2">
      <c r="A986">
        <v>2.3968504232515599E-14</v>
      </c>
      <c r="B986">
        <v>-1.5853227386853701</v>
      </c>
      <c r="C986">
        <v>0.20200000000000001</v>
      </c>
      <c r="D986">
        <v>0.50600000000000001</v>
      </c>
      <c r="E986">
        <v>3.7110435103203802E-10</v>
      </c>
      <c r="F986">
        <v>1</v>
      </c>
      <c r="G986" t="s">
        <v>2954</v>
      </c>
      <c r="H986" t="s">
        <v>2955</v>
      </c>
      <c r="I986" t="s">
        <v>2954</v>
      </c>
      <c r="J986" s="1" t="str">
        <f>HYPERLINK("https://zfin.org/ZDB-GENE-031112-4")</f>
        <v>https://zfin.org/ZDB-GENE-031112-4</v>
      </c>
      <c r="K986" t="s">
        <v>2956</v>
      </c>
    </row>
    <row r="987" spans="1:11" x14ac:dyDescent="0.2">
      <c r="A987">
        <v>2.43171836603647E-14</v>
      </c>
      <c r="B987">
        <v>0.38469006013994</v>
      </c>
      <c r="C987">
        <v>0.78900000000000003</v>
      </c>
      <c r="D987">
        <v>0.36699999999999999</v>
      </c>
      <c r="E987">
        <v>3.7650295461342699E-10</v>
      </c>
      <c r="F987">
        <v>1</v>
      </c>
      <c r="G987" t="s">
        <v>2957</v>
      </c>
      <c r="H987" t="s">
        <v>2958</v>
      </c>
      <c r="I987" t="s">
        <v>2957</v>
      </c>
      <c r="J987" s="1" t="str">
        <f>HYPERLINK("https://zfin.org/ZDB-GENE-050428-1")</f>
        <v>https://zfin.org/ZDB-GENE-050428-1</v>
      </c>
      <c r="K987" t="s">
        <v>2959</v>
      </c>
    </row>
    <row r="988" spans="1:11" x14ac:dyDescent="0.2">
      <c r="A988">
        <v>2.4691767606417599E-14</v>
      </c>
      <c r="B988">
        <v>-1.1088106160961699</v>
      </c>
      <c r="C988">
        <v>0.14000000000000001</v>
      </c>
      <c r="D988">
        <v>0.47099999999999997</v>
      </c>
      <c r="E988">
        <v>3.8230263785016399E-10</v>
      </c>
      <c r="F988">
        <v>1</v>
      </c>
      <c r="G988" t="s">
        <v>2960</v>
      </c>
      <c r="H988" t="s">
        <v>2961</v>
      </c>
      <c r="I988" t="s">
        <v>2960</v>
      </c>
      <c r="J988" s="1" t="str">
        <f>HYPERLINK("https://zfin.org/ZDB-GENE-131127-464")</f>
        <v>https://zfin.org/ZDB-GENE-131127-464</v>
      </c>
      <c r="K988" t="s">
        <v>2962</v>
      </c>
    </row>
    <row r="989" spans="1:11" x14ac:dyDescent="0.2">
      <c r="A989">
        <v>2.49009366544242E-14</v>
      </c>
      <c r="B989">
        <v>0.48563500306546797</v>
      </c>
      <c r="C989">
        <v>0.82499999999999996</v>
      </c>
      <c r="D989">
        <v>0.40100000000000002</v>
      </c>
      <c r="E989">
        <v>3.8554120222045098E-10</v>
      </c>
      <c r="F989">
        <v>1</v>
      </c>
      <c r="G989" t="s">
        <v>2963</v>
      </c>
      <c r="H989" t="s">
        <v>2964</v>
      </c>
      <c r="I989" t="s">
        <v>2963</v>
      </c>
      <c r="J989" s="1" t="str">
        <f>HYPERLINK("https://zfin.org/ZDB-GENE-030131-8369")</f>
        <v>https://zfin.org/ZDB-GENE-030131-8369</v>
      </c>
      <c r="K989" t="s">
        <v>2965</v>
      </c>
    </row>
    <row r="990" spans="1:11" x14ac:dyDescent="0.2">
      <c r="A990">
        <v>2.49879025395713E-14</v>
      </c>
      <c r="B990">
        <v>-0.64382457330004805</v>
      </c>
      <c r="C990">
        <v>0.88600000000000001</v>
      </c>
      <c r="D990">
        <v>0.81200000000000006</v>
      </c>
      <c r="E990">
        <v>3.8688769502018301E-10</v>
      </c>
      <c r="F990">
        <v>1</v>
      </c>
      <c r="G990" t="s">
        <v>2966</v>
      </c>
      <c r="H990" t="s">
        <v>2967</v>
      </c>
      <c r="I990" t="s">
        <v>2966</v>
      </c>
      <c r="J990" s="1" t="str">
        <f>HYPERLINK("https://zfin.org/ZDB-GENE-051113-276")</f>
        <v>https://zfin.org/ZDB-GENE-051113-276</v>
      </c>
      <c r="K990" t="s">
        <v>2968</v>
      </c>
    </row>
    <row r="991" spans="1:11" x14ac:dyDescent="0.2">
      <c r="A991">
        <v>2.9805945835233298E-14</v>
      </c>
      <c r="B991">
        <v>-2.4912779658541799</v>
      </c>
      <c r="C991">
        <v>0.83299999999999996</v>
      </c>
      <c r="D991">
        <v>0.76900000000000002</v>
      </c>
      <c r="E991">
        <v>4.6148545936691702E-10</v>
      </c>
      <c r="F991">
        <v>1</v>
      </c>
      <c r="G991" t="s">
        <v>2969</v>
      </c>
      <c r="H991" t="s">
        <v>2970</v>
      </c>
      <c r="I991" t="s">
        <v>2969</v>
      </c>
      <c r="J991" s="1" t="str">
        <f>HYPERLINK("https://zfin.org/ZDB-GENE-070705-532")</f>
        <v>https://zfin.org/ZDB-GENE-070705-532</v>
      </c>
      <c r="K991" t="s">
        <v>2971</v>
      </c>
    </row>
    <row r="992" spans="1:11" x14ac:dyDescent="0.2">
      <c r="A992">
        <v>3.0775503323678999E-14</v>
      </c>
      <c r="B992">
        <v>0.411153503290279</v>
      </c>
      <c r="C992">
        <v>0.76300000000000001</v>
      </c>
      <c r="D992">
        <v>0.34499999999999997</v>
      </c>
      <c r="E992">
        <v>4.7649711796052204E-10</v>
      </c>
      <c r="F992">
        <v>1</v>
      </c>
      <c r="G992" t="s">
        <v>2972</v>
      </c>
      <c r="H992" t="s">
        <v>2973</v>
      </c>
      <c r="I992" t="s">
        <v>2972</v>
      </c>
      <c r="J992" s="1" t="str">
        <f>HYPERLINK("https://zfin.org/ZDB-GENE-070705-255")</f>
        <v>https://zfin.org/ZDB-GENE-070705-255</v>
      </c>
      <c r="K992" t="s">
        <v>2974</v>
      </c>
    </row>
    <row r="993" spans="1:11" x14ac:dyDescent="0.2">
      <c r="A993">
        <v>3.8036602054342697E-14</v>
      </c>
      <c r="B993">
        <v>-1.3056531093394701</v>
      </c>
      <c r="C993">
        <v>0.28899999999999998</v>
      </c>
      <c r="D993">
        <v>0.54800000000000004</v>
      </c>
      <c r="E993">
        <v>5.8892070960738899E-10</v>
      </c>
      <c r="F993">
        <v>1</v>
      </c>
      <c r="G993" t="s">
        <v>2975</v>
      </c>
      <c r="H993" t="s">
        <v>2976</v>
      </c>
      <c r="I993" t="s">
        <v>2975</v>
      </c>
      <c r="J993" s="1" t="str">
        <f>HYPERLINK("https://zfin.org/ZDB-GENE-030131-9")</f>
        <v>https://zfin.org/ZDB-GENE-030131-9</v>
      </c>
      <c r="K993" t="s">
        <v>2977</v>
      </c>
    </row>
    <row r="994" spans="1:11" x14ac:dyDescent="0.2">
      <c r="A994">
        <v>5.5092724879229798E-14</v>
      </c>
      <c r="B994">
        <v>0.54610640719686199</v>
      </c>
      <c r="C994">
        <v>0.81599999999999995</v>
      </c>
      <c r="D994">
        <v>0.41199999999999998</v>
      </c>
      <c r="E994">
        <v>8.53000659305114E-10</v>
      </c>
      <c r="F994">
        <v>1</v>
      </c>
      <c r="G994" t="s">
        <v>2978</v>
      </c>
      <c r="H994" t="s">
        <v>2979</v>
      </c>
      <c r="I994" t="s">
        <v>2978</v>
      </c>
      <c r="J994" s="1" t="str">
        <f>HYPERLINK("https://zfin.org/ZDB-GENE-050309-14")</f>
        <v>https://zfin.org/ZDB-GENE-050309-14</v>
      </c>
      <c r="K994" t="s">
        <v>2980</v>
      </c>
    </row>
    <row r="995" spans="1:11" x14ac:dyDescent="0.2">
      <c r="A995">
        <v>5.8375255527075194E-14</v>
      </c>
      <c r="B995">
        <v>-2.2002989911421298</v>
      </c>
      <c r="C995">
        <v>0.98199999999999998</v>
      </c>
      <c r="D995">
        <v>0.93600000000000005</v>
      </c>
      <c r="E995">
        <v>9.0382408132570496E-10</v>
      </c>
      <c r="F995">
        <v>1</v>
      </c>
      <c r="G995" t="s">
        <v>2981</v>
      </c>
      <c r="H995" t="s">
        <v>2982</v>
      </c>
      <c r="I995" t="s">
        <v>2981</v>
      </c>
      <c r="J995" s="1" t="str">
        <f>HYPERLINK("https://zfin.org/ZDB-GENE-121214-193")</f>
        <v>https://zfin.org/ZDB-GENE-121214-193</v>
      </c>
      <c r="K995" t="s">
        <v>2983</v>
      </c>
    </row>
    <row r="996" spans="1:11" x14ac:dyDescent="0.2">
      <c r="A996">
        <v>5.9017433938685495E-14</v>
      </c>
      <c r="B996">
        <v>-0.96490937211960104</v>
      </c>
      <c r="C996">
        <v>0.28100000000000003</v>
      </c>
      <c r="D996">
        <v>0.55400000000000005</v>
      </c>
      <c r="E996">
        <v>9.1376692967266696E-10</v>
      </c>
      <c r="F996">
        <v>1</v>
      </c>
      <c r="G996" t="s">
        <v>2984</v>
      </c>
      <c r="H996" t="s">
        <v>2985</v>
      </c>
      <c r="I996" t="s">
        <v>2984</v>
      </c>
      <c r="J996" s="1" t="str">
        <f>HYPERLINK("https://zfin.org/ZDB-GENE-040718-339")</f>
        <v>https://zfin.org/ZDB-GENE-040718-339</v>
      </c>
      <c r="K996" t="s">
        <v>2986</v>
      </c>
    </row>
    <row r="997" spans="1:11" x14ac:dyDescent="0.2">
      <c r="A997">
        <v>6.0584577666877496E-14</v>
      </c>
      <c r="B997">
        <v>-0.95010332470160297</v>
      </c>
      <c r="C997">
        <v>0.51800000000000002</v>
      </c>
      <c r="D997">
        <v>0.65</v>
      </c>
      <c r="E997">
        <v>9.3803101601626499E-10</v>
      </c>
      <c r="F997">
        <v>1</v>
      </c>
      <c r="G997" t="s">
        <v>2987</v>
      </c>
      <c r="H997" t="s">
        <v>2988</v>
      </c>
      <c r="I997" t="s">
        <v>2987</v>
      </c>
      <c r="J997" s="1" t="str">
        <f>HYPERLINK("https://zfin.org/ZDB-GENE-030131-9134")</f>
        <v>https://zfin.org/ZDB-GENE-030131-9134</v>
      </c>
      <c r="K997" t="s">
        <v>2989</v>
      </c>
    </row>
    <row r="998" spans="1:11" x14ac:dyDescent="0.2">
      <c r="A998">
        <v>6.2533125151811496E-14</v>
      </c>
      <c r="B998">
        <v>0.38684763804346201</v>
      </c>
      <c r="C998">
        <v>0.99099999999999999</v>
      </c>
      <c r="D998">
        <v>0.88300000000000001</v>
      </c>
      <c r="E998">
        <v>9.6820037672549704E-10</v>
      </c>
      <c r="F998">
        <v>1</v>
      </c>
      <c r="G998" t="s">
        <v>2990</v>
      </c>
      <c r="H998" t="s">
        <v>2991</v>
      </c>
      <c r="I998" t="s">
        <v>2990</v>
      </c>
      <c r="J998" s="1" t="str">
        <f>HYPERLINK("https://zfin.org/ZDB-GENE-000511-7")</f>
        <v>https://zfin.org/ZDB-GENE-000511-7</v>
      </c>
      <c r="K998" t="s">
        <v>2992</v>
      </c>
    </row>
    <row r="999" spans="1:11" x14ac:dyDescent="0.2">
      <c r="A999">
        <v>6.4325604621738297E-14</v>
      </c>
      <c r="B999">
        <v>0.33182453789313199</v>
      </c>
      <c r="C999">
        <v>0.39500000000000002</v>
      </c>
      <c r="D999">
        <v>0.123</v>
      </c>
      <c r="E999">
        <v>9.9595333635837297E-10</v>
      </c>
      <c r="F999">
        <v>1</v>
      </c>
      <c r="G999" t="s">
        <v>2993</v>
      </c>
      <c r="H999" t="s">
        <v>2994</v>
      </c>
      <c r="I999" t="s">
        <v>2993</v>
      </c>
      <c r="J999" s="1" t="str">
        <f>HYPERLINK("https://zfin.org/ZDB-GENE-050309-178")</f>
        <v>https://zfin.org/ZDB-GENE-050309-178</v>
      </c>
      <c r="K999" t="s">
        <v>2995</v>
      </c>
    </row>
    <row r="1000" spans="1:11" x14ac:dyDescent="0.2">
      <c r="A1000">
        <v>8.0391960104150705E-14</v>
      </c>
      <c r="B1000">
        <v>-0.975224656600711</v>
      </c>
      <c r="C1000">
        <v>0.16700000000000001</v>
      </c>
      <c r="D1000">
        <v>0.48199999999999998</v>
      </c>
      <c r="E1000">
        <v>1.24470871829257E-9</v>
      </c>
      <c r="F1000">
        <v>1</v>
      </c>
      <c r="G1000" t="s">
        <v>2996</v>
      </c>
      <c r="H1000" t="s">
        <v>2997</v>
      </c>
      <c r="I1000" t="s">
        <v>2996</v>
      </c>
      <c r="J1000" s="1" t="str">
        <f>HYPERLINK("https://zfin.org/ZDB-GENE-040426-2161")</f>
        <v>https://zfin.org/ZDB-GENE-040426-2161</v>
      </c>
      <c r="K1000" t="s">
        <v>2998</v>
      </c>
    </row>
    <row r="1001" spans="1:11" x14ac:dyDescent="0.2">
      <c r="A1001">
        <v>9.2885951403910805E-14</v>
      </c>
      <c r="B1001">
        <v>0.31780002551627401</v>
      </c>
      <c r="C1001">
        <v>0.67500000000000004</v>
      </c>
      <c r="D1001">
        <v>0.27100000000000002</v>
      </c>
      <c r="E1001">
        <v>1.4381531855867501E-9</v>
      </c>
      <c r="F1001">
        <v>1</v>
      </c>
      <c r="G1001" t="s">
        <v>2999</v>
      </c>
      <c r="H1001" t="s">
        <v>3000</v>
      </c>
      <c r="I1001" t="s">
        <v>2999</v>
      </c>
      <c r="J1001" s="1" t="str">
        <f>HYPERLINK("https://zfin.org/ZDB-GENE-040426-1672")</f>
        <v>https://zfin.org/ZDB-GENE-040426-1672</v>
      </c>
      <c r="K1001" t="s">
        <v>3001</v>
      </c>
    </row>
    <row r="1002" spans="1:11" x14ac:dyDescent="0.2">
      <c r="A1002">
        <v>1.12221599475124E-13</v>
      </c>
      <c r="B1002">
        <v>-1.6006495620830301</v>
      </c>
      <c r="C1002">
        <v>0.307</v>
      </c>
      <c r="D1002">
        <v>0.55000000000000004</v>
      </c>
      <c r="E1002">
        <v>1.7375270246733399E-9</v>
      </c>
      <c r="F1002">
        <v>1</v>
      </c>
      <c r="G1002" t="s">
        <v>3002</v>
      </c>
      <c r="H1002" t="s">
        <v>3003</v>
      </c>
      <c r="I1002" t="s">
        <v>3002</v>
      </c>
      <c r="J1002" s="1" t="str">
        <f>HYPERLINK("https://zfin.org/ZDB-GENE-141215-49")</f>
        <v>https://zfin.org/ZDB-GENE-141215-49</v>
      </c>
      <c r="K1002" t="s">
        <v>3004</v>
      </c>
    </row>
    <row r="1003" spans="1:11" x14ac:dyDescent="0.2">
      <c r="A1003">
        <v>1.1411502207474599E-13</v>
      </c>
      <c r="B1003">
        <v>0.29423763267741099</v>
      </c>
      <c r="C1003">
        <v>0.61399999999999999</v>
      </c>
      <c r="D1003">
        <v>0.23599999999999999</v>
      </c>
      <c r="E1003">
        <v>1.7668428867832899E-9</v>
      </c>
      <c r="F1003">
        <v>1</v>
      </c>
      <c r="G1003" t="s">
        <v>3005</v>
      </c>
      <c r="H1003" t="s">
        <v>3006</v>
      </c>
      <c r="I1003" t="s">
        <v>3005</v>
      </c>
      <c r="J1003" s="1" t="str">
        <f>HYPERLINK("https://zfin.org/ZDB-GENE-030131-7691")</f>
        <v>https://zfin.org/ZDB-GENE-030131-7691</v>
      </c>
      <c r="K1003" t="s">
        <v>3007</v>
      </c>
    </row>
    <row r="1004" spans="1:11" x14ac:dyDescent="0.2">
      <c r="A1004">
        <v>1.20914285973856E-13</v>
      </c>
      <c r="B1004">
        <v>0.36373029354504999</v>
      </c>
      <c r="C1004">
        <v>0.82499999999999996</v>
      </c>
      <c r="D1004">
        <v>0.36299999999999999</v>
      </c>
      <c r="E1004">
        <v>1.8721158897332198E-9</v>
      </c>
      <c r="F1004">
        <v>1</v>
      </c>
      <c r="G1004" t="s">
        <v>3008</v>
      </c>
      <c r="H1004" t="s">
        <v>3009</v>
      </c>
      <c r="I1004" t="s">
        <v>3008</v>
      </c>
      <c r="J1004" s="1" t="str">
        <f>HYPERLINK("https://zfin.org/ZDB-GENE-050522-377")</f>
        <v>https://zfin.org/ZDB-GENE-050522-377</v>
      </c>
      <c r="K1004" t="s">
        <v>3010</v>
      </c>
    </row>
    <row r="1005" spans="1:11" x14ac:dyDescent="0.2">
      <c r="A1005">
        <v>1.4799131172911201E-13</v>
      </c>
      <c r="B1005">
        <v>0.395726340723833</v>
      </c>
      <c r="C1005">
        <v>0.85099999999999998</v>
      </c>
      <c r="D1005">
        <v>0.41599999999999998</v>
      </c>
      <c r="E1005">
        <v>2.2913494795018401E-9</v>
      </c>
      <c r="F1005">
        <v>1</v>
      </c>
      <c r="G1005" t="s">
        <v>3011</v>
      </c>
      <c r="H1005" t="s">
        <v>3012</v>
      </c>
      <c r="I1005" t="s">
        <v>3011</v>
      </c>
      <c r="J1005" s="1" t="str">
        <f>HYPERLINK("https://zfin.org/ZDB-GENE-040625-38")</f>
        <v>https://zfin.org/ZDB-GENE-040625-38</v>
      </c>
      <c r="K1005" t="s">
        <v>3013</v>
      </c>
    </row>
    <row r="1006" spans="1:11" x14ac:dyDescent="0.2">
      <c r="A1006">
        <v>1.52886531466456E-13</v>
      </c>
      <c r="B1006">
        <v>0.282857061942763</v>
      </c>
      <c r="C1006">
        <v>0.42099999999999999</v>
      </c>
      <c r="D1006">
        <v>0.13500000000000001</v>
      </c>
      <c r="E1006">
        <v>2.3671421666951298E-9</v>
      </c>
      <c r="F1006">
        <v>1</v>
      </c>
      <c r="G1006" t="s">
        <v>3014</v>
      </c>
      <c r="H1006" t="s">
        <v>3015</v>
      </c>
      <c r="I1006" t="s">
        <v>3014</v>
      </c>
      <c r="J1006" s="1" t="str">
        <f>HYPERLINK("https://zfin.org/ZDB-GENE-040625-174")</f>
        <v>https://zfin.org/ZDB-GENE-040625-174</v>
      </c>
      <c r="K1006" t="s">
        <v>3016</v>
      </c>
    </row>
    <row r="1007" spans="1:11" x14ac:dyDescent="0.2">
      <c r="A1007">
        <v>1.5624463410139701E-13</v>
      </c>
      <c r="B1007">
        <v>-0.72640185758513098</v>
      </c>
      <c r="C1007">
        <v>0.746</v>
      </c>
      <c r="D1007">
        <v>0.76800000000000002</v>
      </c>
      <c r="E1007">
        <v>2.4191356697919301E-9</v>
      </c>
      <c r="F1007">
        <v>1</v>
      </c>
      <c r="G1007" t="s">
        <v>3017</v>
      </c>
      <c r="H1007" t="s">
        <v>3018</v>
      </c>
      <c r="I1007" t="s">
        <v>3017</v>
      </c>
      <c r="J1007" s="1" t="str">
        <f>HYPERLINK("https://zfin.org/ZDB-GENE-051023-7")</f>
        <v>https://zfin.org/ZDB-GENE-051023-7</v>
      </c>
      <c r="K1007" t="s">
        <v>3019</v>
      </c>
    </row>
    <row r="1008" spans="1:11" x14ac:dyDescent="0.2">
      <c r="A1008">
        <v>1.8922372960343801E-13</v>
      </c>
      <c r="B1008">
        <v>-1.1388767295995299</v>
      </c>
      <c r="C1008">
        <v>0.158</v>
      </c>
      <c r="D1008">
        <v>0.47299999999999998</v>
      </c>
      <c r="E1008">
        <v>2.9297510054500301E-9</v>
      </c>
      <c r="F1008">
        <v>1</v>
      </c>
      <c r="G1008" t="s">
        <v>3020</v>
      </c>
      <c r="H1008" t="s">
        <v>3021</v>
      </c>
      <c r="I1008" t="s">
        <v>3020</v>
      </c>
      <c r="J1008" s="1" t="str">
        <f>HYPERLINK("https://zfin.org/ZDB-GENE-020802-2")</f>
        <v>https://zfin.org/ZDB-GENE-020802-2</v>
      </c>
      <c r="K1008" t="s">
        <v>3022</v>
      </c>
    </row>
    <row r="1009" spans="1:11" x14ac:dyDescent="0.2">
      <c r="A1009">
        <v>1.8970455560103899E-13</v>
      </c>
      <c r="B1009">
        <v>-0.54434232680635597</v>
      </c>
      <c r="C1009">
        <v>0.96499999999999997</v>
      </c>
      <c r="D1009">
        <v>0.91800000000000004</v>
      </c>
      <c r="E1009">
        <v>2.9371956343708901E-9</v>
      </c>
      <c r="F1009">
        <v>1</v>
      </c>
      <c r="G1009" t="s">
        <v>3023</v>
      </c>
      <c r="H1009" t="s">
        <v>3024</v>
      </c>
      <c r="I1009" t="s">
        <v>3023</v>
      </c>
      <c r="J1009" s="1" t="str">
        <f>HYPERLINK("https://zfin.org/ZDB-GENE-000629-1")</f>
        <v>https://zfin.org/ZDB-GENE-000629-1</v>
      </c>
      <c r="K1009" t="s">
        <v>3025</v>
      </c>
    </row>
    <row r="1010" spans="1:11" x14ac:dyDescent="0.2">
      <c r="A1010">
        <v>2.0201649514312001E-13</v>
      </c>
      <c r="B1010">
        <v>0.27710191109509802</v>
      </c>
      <c r="C1010">
        <v>0.42099999999999999</v>
      </c>
      <c r="D1010">
        <v>0.13500000000000001</v>
      </c>
      <c r="E1010">
        <v>3.12782139430093E-9</v>
      </c>
      <c r="F1010">
        <v>1</v>
      </c>
      <c r="G1010" t="s">
        <v>3026</v>
      </c>
      <c r="H1010" t="s">
        <v>3027</v>
      </c>
      <c r="I1010" t="s">
        <v>3026</v>
      </c>
      <c r="J1010" s="1" t="str">
        <f>HYPERLINK("https://zfin.org/ZDB-GENE-040426-1715")</f>
        <v>https://zfin.org/ZDB-GENE-040426-1715</v>
      </c>
      <c r="K1010" t="s">
        <v>3028</v>
      </c>
    </row>
    <row r="1011" spans="1:11" x14ac:dyDescent="0.2">
      <c r="A1011">
        <v>2.2089636654799601E-13</v>
      </c>
      <c r="B1011">
        <v>0.42249963570475302</v>
      </c>
      <c r="C1011">
        <v>0.97399999999999998</v>
      </c>
      <c r="D1011">
        <v>0.66700000000000004</v>
      </c>
      <c r="E1011">
        <v>3.4201384432626202E-9</v>
      </c>
      <c r="F1011">
        <v>1</v>
      </c>
      <c r="G1011" t="s">
        <v>3029</v>
      </c>
      <c r="H1011" t="s">
        <v>3030</v>
      </c>
      <c r="I1011" t="s">
        <v>3029</v>
      </c>
      <c r="J1011" s="1" t="str">
        <f>HYPERLINK("https://zfin.org/ZDB-GENE-040426-1961")</f>
        <v>https://zfin.org/ZDB-GENE-040426-1961</v>
      </c>
      <c r="K1011" t="s">
        <v>3031</v>
      </c>
    </row>
    <row r="1012" spans="1:11" x14ac:dyDescent="0.2">
      <c r="A1012">
        <v>2.2326871546225399E-13</v>
      </c>
      <c r="B1012">
        <v>0.31103143710827702</v>
      </c>
      <c r="C1012">
        <v>0.76300000000000001</v>
      </c>
      <c r="D1012">
        <v>0.32600000000000001</v>
      </c>
      <c r="E1012">
        <v>3.4568695215020899E-9</v>
      </c>
      <c r="F1012">
        <v>1</v>
      </c>
      <c r="G1012" t="s">
        <v>3032</v>
      </c>
      <c r="H1012" t="s">
        <v>3033</v>
      </c>
      <c r="I1012" t="s">
        <v>3032</v>
      </c>
      <c r="J1012" s="1" t="str">
        <f>HYPERLINK("https://zfin.org/")</f>
        <v>https://zfin.org/</v>
      </c>
      <c r="K1012" t="s">
        <v>3034</v>
      </c>
    </row>
    <row r="1013" spans="1:11" x14ac:dyDescent="0.2">
      <c r="A1013">
        <v>2.3740706117473202E-13</v>
      </c>
      <c r="B1013">
        <v>0.28878962133930203</v>
      </c>
      <c r="C1013">
        <v>0.623</v>
      </c>
      <c r="D1013">
        <v>0.24399999999999999</v>
      </c>
      <c r="E1013">
        <v>3.67577352816838E-9</v>
      </c>
      <c r="F1013">
        <v>1</v>
      </c>
      <c r="G1013" t="s">
        <v>3035</v>
      </c>
      <c r="H1013" t="s">
        <v>3036</v>
      </c>
      <c r="I1013" t="s">
        <v>3035</v>
      </c>
      <c r="J1013" s="1" t="str">
        <f>HYPERLINK("https://zfin.org/ZDB-GENE-030131-4317")</f>
        <v>https://zfin.org/ZDB-GENE-030131-4317</v>
      </c>
      <c r="K1013" t="s">
        <v>3037</v>
      </c>
    </row>
    <row r="1014" spans="1:11" x14ac:dyDescent="0.2">
      <c r="A1014">
        <v>2.6896174707548901E-13</v>
      </c>
      <c r="B1014">
        <v>0.27825822480684598</v>
      </c>
      <c r="C1014">
        <v>0.316</v>
      </c>
      <c r="D1014">
        <v>8.6999999999999994E-2</v>
      </c>
      <c r="E1014">
        <v>4.1643347299697901E-9</v>
      </c>
      <c r="F1014">
        <v>1</v>
      </c>
      <c r="G1014" t="s">
        <v>3038</v>
      </c>
      <c r="H1014" t="s">
        <v>3039</v>
      </c>
      <c r="I1014" t="s">
        <v>3038</v>
      </c>
      <c r="J1014" s="1" t="str">
        <f>HYPERLINK("https://zfin.org/ZDB-GENE-030131-8820")</f>
        <v>https://zfin.org/ZDB-GENE-030131-8820</v>
      </c>
      <c r="K1014" t="s">
        <v>3040</v>
      </c>
    </row>
    <row r="1015" spans="1:11" x14ac:dyDescent="0.2">
      <c r="A1015">
        <v>2.97529502640995E-13</v>
      </c>
      <c r="B1015">
        <v>-0.61028133558298703</v>
      </c>
      <c r="C1015">
        <v>0.96499999999999997</v>
      </c>
      <c r="D1015">
        <v>0.90800000000000003</v>
      </c>
      <c r="E1015">
        <v>4.6066492893905304E-9</v>
      </c>
      <c r="F1015">
        <v>1</v>
      </c>
      <c r="G1015" t="s">
        <v>3041</v>
      </c>
      <c r="H1015" t="s">
        <v>3042</v>
      </c>
      <c r="I1015" t="s">
        <v>3041</v>
      </c>
      <c r="J1015" s="1" t="str">
        <f>HYPERLINK("https://zfin.org/ZDB-GENE-000329-1")</f>
        <v>https://zfin.org/ZDB-GENE-000329-1</v>
      </c>
      <c r="K1015" t="s">
        <v>3043</v>
      </c>
    </row>
    <row r="1016" spans="1:11" x14ac:dyDescent="0.2">
      <c r="A1016">
        <v>3.0268338730101002E-13</v>
      </c>
      <c r="B1016">
        <v>0.35271503170494001</v>
      </c>
      <c r="C1016">
        <v>0.89500000000000002</v>
      </c>
      <c r="D1016">
        <v>0.434</v>
      </c>
      <c r="E1016">
        <v>4.6864468855815404E-9</v>
      </c>
      <c r="F1016">
        <v>1</v>
      </c>
      <c r="G1016" t="s">
        <v>3044</v>
      </c>
      <c r="H1016" t="s">
        <v>3045</v>
      </c>
      <c r="I1016" t="s">
        <v>3044</v>
      </c>
      <c r="J1016" s="1" t="str">
        <f>HYPERLINK("https://zfin.org/ZDB-GENE-040912-131")</f>
        <v>https://zfin.org/ZDB-GENE-040912-131</v>
      </c>
      <c r="K1016" t="s">
        <v>3046</v>
      </c>
    </row>
    <row r="1017" spans="1:11" x14ac:dyDescent="0.2">
      <c r="A1017">
        <v>3.2283339522143E-13</v>
      </c>
      <c r="B1017">
        <v>-0.66420364993776504</v>
      </c>
      <c r="C1017">
        <v>0.89500000000000002</v>
      </c>
      <c r="D1017">
        <v>0.77600000000000002</v>
      </c>
      <c r="E1017">
        <v>4.9984294582134104E-9</v>
      </c>
      <c r="F1017">
        <v>1</v>
      </c>
      <c r="G1017" t="s">
        <v>3047</v>
      </c>
      <c r="H1017" t="s">
        <v>3048</v>
      </c>
      <c r="I1017" t="s">
        <v>3047</v>
      </c>
      <c r="J1017" s="1" t="str">
        <f>HYPERLINK("https://zfin.org/ZDB-GENE-030131-185")</f>
        <v>https://zfin.org/ZDB-GENE-030131-185</v>
      </c>
      <c r="K1017" t="s">
        <v>3049</v>
      </c>
    </row>
    <row r="1018" spans="1:11" x14ac:dyDescent="0.2">
      <c r="A1018">
        <v>3.27514366668641E-13</v>
      </c>
      <c r="B1018">
        <v>-0.66958976059616004</v>
      </c>
      <c r="C1018">
        <v>0.90400000000000003</v>
      </c>
      <c r="D1018">
        <v>0.83699999999999997</v>
      </c>
      <c r="E1018">
        <v>5.0709049391305604E-9</v>
      </c>
      <c r="F1018">
        <v>1</v>
      </c>
      <c r="G1018" t="s">
        <v>3050</v>
      </c>
      <c r="H1018" t="s">
        <v>3051</v>
      </c>
      <c r="I1018" t="s">
        <v>3050</v>
      </c>
      <c r="J1018" s="1" t="str">
        <f>HYPERLINK("https://zfin.org/ZDB-GENE-000607-83")</f>
        <v>https://zfin.org/ZDB-GENE-000607-83</v>
      </c>
      <c r="K1018" t="s">
        <v>3052</v>
      </c>
    </row>
    <row r="1019" spans="1:11" x14ac:dyDescent="0.2">
      <c r="A1019">
        <v>3.3596650700028102E-13</v>
      </c>
      <c r="B1019">
        <v>-1.2292327033680801</v>
      </c>
      <c r="C1019">
        <v>0.28100000000000003</v>
      </c>
      <c r="D1019">
        <v>0.54200000000000004</v>
      </c>
      <c r="E1019">
        <v>5.2017694278853496E-9</v>
      </c>
      <c r="F1019">
        <v>1</v>
      </c>
      <c r="G1019" t="s">
        <v>3053</v>
      </c>
      <c r="H1019" t="s">
        <v>3054</v>
      </c>
      <c r="I1019" t="s">
        <v>3053</v>
      </c>
      <c r="J1019" s="1" t="str">
        <f>HYPERLINK("https://zfin.org/ZDB-GENE-980526-320")</f>
        <v>https://zfin.org/ZDB-GENE-980526-320</v>
      </c>
      <c r="K1019" t="s">
        <v>3055</v>
      </c>
    </row>
    <row r="1020" spans="1:11" x14ac:dyDescent="0.2">
      <c r="A1020">
        <v>4.0480377083057902E-13</v>
      </c>
      <c r="B1020">
        <v>0.29166126195269798</v>
      </c>
      <c r="C1020">
        <v>1</v>
      </c>
      <c r="D1020">
        <v>0.93700000000000006</v>
      </c>
      <c r="E1020">
        <v>6.2675767837698497E-9</v>
      </c>
      <c r="F1020">
        <v>1</v>
      </c>
      <c r="G1020" t="s">
        <v>3056</v>
      </c>
      <c r="H1020" t="s">
        <v>3057</v>
      </c>
      <c r="I1020" t="s">
        <v>3056</v>
      </c>
      <c r="J1020" s="1" t="str">
        <f>HYPERLINK("https://zfin.org/ZDB-GENE-011205-18")</f>
        <v>https://zfin.org/ZDB-GENE-011205-18</v>
      </c>
      <c r="K1020" t="s">
        <v>3058</v>
      </c>
    </row>
    <row r="1021" spans="1:11" x14ac:dyDescent="0.2">
      <c r="A1021">
        <v>4.1859097611292102E-13</v>
      </c>
      <c r="B1021">
        <v>0.36014024876772299</v>
      </c>
      <c r="C1021">
        <v>0.79800000000000004</v>
      </c>
      <c r="D1021">
        <v>0.36699999999999999</v>
      </c>
      <c r="E1021">
        <v>6.4810440831563597E-9</v>
      </c>
      <c r="F1021">
        <v>1</v>
      </c>
      <c r="G1021" t="s">
        <v>3059</v>
      </c>
      <c r="H1021" t="s">
        <v>3060</v>
      </c>
      <c r="I1021" t="s">
        <v>3059</v>
      </c>
      <c r="J1021" s="1" t="str">
        <f>HYPERLINK("https://zfin.org/ZDB-GENE-030826-20")</f>
        <v>https://zfin.org/ZDB-GENE-030826-20</v>
      </c>
      <c r="K1021" t="s">
        <v>3061</v>
      </c>
    </row>
    <row r="1022" spans="1:11" x14ac:dyDescent="0.2">
      <c r="A1022">
        <v>4.2456302883590801E-13</v>
      </c>
      <c r="B1022">
        <v>0.37964559309887203</v>
      </c>
      <c r="C1022">
        <v>0.99099999999999999</v>
      </c>
      <c r="D1022">
        <v>0.68899999999999995</v>
      </c>
      <c r="E1022">
        <v>6.5735093754663704E-9</v>
      </c>
      <c r="F1022">
        <v>1</v>
      </c>
      <c r="G1022" t="s">
        <v>3062</v>
      </c>
      <c r="H1022" t="s">
        <v>3063</v>
      </c>
      <c r="I1022" t="s">
        <v>3062</v>
      </c>
      <c r="J1022" s="1" t="str">
        <f>HYPERLINK("https://zfin.org/ZDB-GENE-061215-23")</f>
        <v>https://zfin.org/ZDB-GENE-061215-23</v>
      </c>
      <c r="K1022" t="s">
        <v>3064</v>
      </c>
    </row>
    <row r="1023" spans="1:11" x14ac:dyDescent="0.2">
      <c r="A1023">
        <v>4.4746947381603798E-13</v>
      </c>
      <c r="B1023">
        <v>0.305663820779698</v>
      </c>
      <c r="C1023">
        <v>0.754</v>
      </c>
      <c r="D1023">
        <v>0.33300000000000002</v>
      </c>
      <c r="E1023">
        <v>6.9281698630937203E-9</v>
      </c>
      <c r="F1023">
        <v>1</v>
      </c>
      <c r="G1023" t="s">
        <v>3065</v>
      </c>
      <c r="H1023" t="s">
        <v>3066</v>
      </c>
      <c r="I1023" t="s">
        <v>3065</v>
      </c>
      <c r="J1023" s="1" t="str">
        <f>HYPERLINK("https://zfin.org/ZDB-GENE-050320-87")</f>
        <v>https://zfin.org/ZDB-GENE-050320-87</v>
      </c>
      <c r="K1023" t="s">
        <v>3067</v>
      </c>
    </row>
    <row r="1024" spans="1:11" x14ac:dyDescent="0.2">
      <c r="A1024">
        <v>4.4814366929507799E-13</v>
      </c>
      <c r="B1024">
        <v>-0.63848472489433705</v>
      </c>
      <c r="C1024">
        <v>0.89500000000000002</v>
      </c>
      <c r="D1024">
        <v>0.83899999999999997</v>
      </c>
      <c r="E1024">
        <v>6.9386084316956902E-9</v>
      </c>
      <c r="F1024">
        <v>1</v>
      </c>
      <c r="G1024" t="s">
        <v>3068</v>
      </c>
      <c r="H1024" t="s">
        <v>3069</v>
      </c>
      <c r="I1024" t="s">
        <v>3068</v>
      </c>
      <c r="J1024" s="1" t="str">
        <f>HYPERLINK("https://zfin.org/ZDB-GENE-070928-23")</f>
        <v>https://zfin.org/ZDB-GENE-070928-23</v>
      </c>
      <c r="K1024" t="s">
        <v>3070</v>
      </c>
    </row>
    <row r="1025" spans="1:11" x14ac:dyDescent="0.2">
      <c r="A1025">
        <v>4.7158400490191702E-13</v>
      </c>
      <c r="B1025">
        <v>0.31846066980497201</v>
      </c>
      <c r="C1025">
        <v>0.65800000000000003</v>
      </c>
      <c r="D1025">
        <v>0.26700000000000002</v>
      </c>
      <c r="E1025">
        <v>7.3015351478963801E-9</v>
      </c>
      <c r="F1025">
        <v>1</v>
      </c>
      <c r="G1025" t="s">
        <v>3071</v>
      </c>
      <c r="H1025" t="s">
        <v>3072</v>
      </c>
      <c r="I1025" t="s">
        <v>3071</v>
      </c>
      <c r="J1025" s="1" t="str">
        <f>HYPERLINK("https://zfin.org/ZDB-GENE-030131-514")</f>
        <v>https://zfin.org/ZDB-GENE-030131-514</v>
      </c>
      <c r="K1025" t="s">
        <v>3073</v>
      </c>
    </row>
    <row r="1026" spans="1:11" x14ac:dyDescent="0.2">
      <c r="A1026">
        <v>5.7578079248519303E-13</v>
      </c>
      <c r="B1026">
        <v>0.36580360763674202</v>
      </c>
      <c r="C1026">
        <v>0.78900000000000003</v>
      </c>
      <c r="D1026">
        <v>0.35299999999999998</v>
      </c>
      <c r="E1026">
        <v>8.9148140100482404E-9</v>
      </c>
      <c r="F1026">
        <v>1</v>
      </c>
      <c r="G1026" t="s">
        <v>3074</v>
      </c>
      <c r="H1026" t="s">
        <v>3075</v>
      </c>
      <c r="I1026" t="s">
        <v>3074</v>
      </c>
      <c r="J1026" s="1" t="str">
        <f>HYPERLINK("https://zfin.org/ZDB-GENE-031030-4")</f>
        <v>https://zfin.org/ZDB-GENE-031030-4</v>
      </c>
      <c r="K1026" t="s">
        <v>3076</v>
      </c>
    </row>
    <row r="1027" spans="1:11" x14ac:dyDescent="0.2">
      <c r="A1027">
        <v>5.8513961690429596E-13</v>
      </c>
      <c r="B1027">
        <v>0.39076314890017899</v>
      </c>
      <c r="C1027">
        <v>0.99099999999999999</v>
      </c>
      <c r="D1027">
        <v>0.72699999999999998</v>
      </c>
      <c r="E1027">
        <v>9.0597166885292205E-9</v>
      </c>
      <c r="F1027">
        <v>1</v>
      </c>
      <c r="G1027" t="s">
        <v>3077</v>
      </c>
      <c r="H1027" t="s">
        <v>3078</v>
      </c>
      <c r="I1027" t="s">
        <v>3077</v>
      </c>
      <c r="J1027" s="1" t="str">
        <f>HYPERLINK("https://zfin.org/ZDB-GENE-020814-1")</f>
        <v>https://zfin.org/ZDB-GENE-020814-1</v>
      </c>
      <c r="K1027" t="s">
        <v>3079</v>
      </c>
    </row>
    <row r="1028" spans="1:11" x14ac:dyDescent="0.2">
      <c r="A1028">
        <v>6.3888629359686597E-13</v>
      </c>
      <c r="B1028">
        <v>0.28370011891635399</v>
      </c>
      <c r="C1028">
        <v>0.43</v>
      </c>
      <c r="D1028">
        <v>0.14299999999999999</v>
      </c>
      <c r="E1028">
        <v>9.8918764837602795E-9</v>
      </c>
      <c r="F1028">
        <v>1</v>
      </c>
      <c r="G1028" t="s">
        <v>3080</v>
      </c>
      <c r="H1028" t="s">
        <v>3081</v>
      </c>
      <c r="I1028" t="s">
        <v>3080</v>
      </c>
      <c r="J1028" s="1" t="str">
        <f>HYPERLINK("https://zfin.org/ZDB-GENE-041121-5")</f>
        <v>https://zfin.org/ZDB-GENE-041121-5</v>
      </c>
      <c r="K1028" t="s">
        <v>3082</v>
      </c>
    </row>
    <row r="1029" spans="1:11" x14ac:dyDescent="0.2">
      <c r="A1029">
        <v>6.7882620434553698E-13</v>
      </c>
      <c r="B1029">
        <v>0.25781844530488002</v>
      </c>
      <c r="C1029">
        <v>0.41199999999999998</v>
      </c>
      <c r="D1029">
        <v>0.13300000000000001</v>
      </c>
      <c r="E1029">
        <v>1.05102661218819E-8</v>
      </c>
      <c r="F1029">
        <v>1</v>
      </c>
      <c r="G1029" t="s">
        <v>3083</v>
      </c>
      <c r="H1029" t="s">
        <v>3084</v>
      </c>
      <c r="I1029" t="s">
        <v>3083</v>
      </c>
      <c r="J1029" s="1" t="str">
        <f>HYPERLINK("https://zfin.org/ZDB-GENE-041219-3")</f>
        <v>https://zfin.org/ZDB-GENE-041219-3</v>
      </c>
      <c r="K1029" t="s">
        <v>3085</v>
      </c>
    </row>
    <row r="1030" spans="1:11" x14ac:dyDescent="0.2">
      <c r="A1030">
        <v>7.3790930632824302E-13</v>
      </c>
      <c r="B1030">
        <v>-1.3192661072538201</v>
      </c>
      <c r="C1030">
        <v>0.27200000000000002</v>
      </c>
      <c r="D1030">
        <v>0.53400000000000003</v>
      </c>
      <c r="E1030">
        <v>1.14250497898802E-8</v>
      </c>
      <c r="F1030">
        <v>1</v>
      </c>
      <c r="G1030" t="s">
        <v>3086</v>
      </c>
      <c r="H1030" t="s">
        <v>3087</v>
      </c>
      <c r="I1030" t="s">
        <v>3086</v>
      </c>
      <c r="J1030" s="1" t="str">
        <f>HYPERLINK("https://zfin.org/ZDB-GENE-030131-247")</f>
        <v>https://zfin.org/ZDB-GENE-030131-247</v>
      </c>
      <c r="K1030" t="s">
        <v>3088</v>
      </c>
    </row>
    <row r="1031" spans="1:11" x14ac:dyDescent="0.2">
      <c r="A1031">
        <v>7.4119776520810101E-13</v>
      </c>
      <c r="B1031">
        <v>-1.0359563412222199</v>
      </c>
      <c r="C1031">
        <v>0.13200000000000001</v>
      </c>
      <c r="D1031">
        <v>0.44900000000000001</v>
      </c>
      <c r="E1031">
        <v>1.1475964998717E-8</v>
      </c>
      <c r="F1031">
        <v>1</v>
      </c>
      <c r="G1031" t="s">
        <v>3089</v>
      </c>
      <c r="H1031" t="s">
        <v>3090</v>
      </c>
      <c r="I1031" t="s">
        <v>3089</v>
      </c>
      <c r="J1031" s="1" t="str">
        <f>HYPERLINK("https://zfin.org/ZDB-GENE-040801-77")</f>
        <v>https://zfin.org/ZDB-GENE-040801-77</v>
      </c>
      <c r="K1031" t="s">
        <v>3091</v>
      </c>
    </row>
    <row r="1032" spans="1:11" x14ac:dyDescent="0.2">
      <c r="A1032">
        <v>7.9145984928509003E-13</v>
      </c>
      <c r="B1032">
        <v>0.49859427112282101</v>
      </c>
      <c r="C1032">
        <v>0.34200000000000003</v>
      </c>
      <c r="D1032">
        <v>0.107</v>
      </c>
      <c r="E1032">
        <v>1.2254172846481E-8</v>
      </c>
      <c r="F1032">
        <v>1</v>
      </c>
      <c r="G1032" t="s">
        <v>3092</v>
      </c>
      <c r="H1032" t="s">
        <v>3093</v>
      </c>
      <c r="I1032" t="s">
        <v>3092</v>
      </c>
      <c r="J1032" s="1" t="str">
        <f>HYPERLINK("https://zfin.org/ZDB-GENE-990415-50")</f>
        <v>https://zfin.org/ZDB-GENE-990415-50</v>
      </c>
      <c r="K1032" t="s">
        <v>3094</v>
      </c>
    </row>
    <row r="1033" spans="1:11" x14ac:dyDescent="0.2">
      <c r="A1033">
        <v>1.13445873681921E-12</v>
      </c>
      <c r="B1033">
        <v>0.40434258656122402</v>
      </c>
      <c r="C1033">
        <v>0.86799999999999999</v>
      </c>
      <c r="D1033">
        <v>0.47599999999999998</v>
      </c>
      <c r="E1033">
        <v>1.7564824622171801E-8</v>
      </c>
      <c r="F1033">
        <v>1</v>
      </c>
      <c r="G1033" t="s">
        <v>3095</v>
      </c>
      <c r="H1033" t="s">
        <v>3096</v>
      </c>
      <c r="I1033" t="s">
        <v>3095</v>
      </c>
      <c r="J1033" s="1" t="str">
        <f>HYPERLINK("https://zfin.org/ZDB-GENE-030131-7649")</f>
        <v>https://zfin.org/ZDB-GENE-030131-7649</v>
      </c>
      <c r="K1033" t="s">
        <v>3097</v>
      </c>
    </row>
    <row r="1034" spans="1:11" x14ac:dyDescent="0.2">
      <c r="A1034">
        <v>1.27143155441203E-12</v>
      </c>
      <c r="B1034">
        <v>-1.27944427080691</v>
      </c>
      <c r="C1034">
        <v>0.29799999999999999</v>
      </c>
      <c r="D1034">
        <v>0.52800000000000002</v>
      </c>
      <c r="E1034">
        <v>1.9685574756961401E-8</v>
      </c>
      <c r="F1034">
        <v>1</v>
      </c>
      <c r="G1034" t="s">
        <v>3098</v>
      </c>
      <c r="H1034" t="s">
        <v>3099</v>
      </c>
      <c r="I1034" t="s">
        <v>3098</v>
      </c>
      <c r="J1034" s="1" t="str">
        <f>HYPERLINK("https://zfin.org/ZDB-GENE-030131-9167")</f>
        <v>https://zfin.org/ZDB-GENE-030131-9167</v>
      </c>
      <c r="K1034" t="s">
        <v>3100</v>
      </c>
    </row>
    <row r="1035" spans="1:11" x14ac:dyDescent="0.2">
      <c r="A1035">
        <v>1.28094991810109E-12</v>
      </c>
      <c r="B1035">
        <v>-0.94525081007783696</v>
      </c>
      <c r="C1035">
        <v>0.14000000000000001</v>
      </c>
      <c r="D1035">
        <v>0.45100000000000001</v>
      </c>
      <c r="E1035">
        <v>1.9832947581959101E-8</v>
      </c>
      <c r="F1035">
        <v>1</v>
      </c>
      <c r="G1035" t="s">
        <v>3101</v>
      </c>
      <c r="H1035" t="s">
        <v>3102</v>
      </c>
      <c r="I1035" t="s">
        <v>3101</v>
      </c>
      <c r="J1035" s="1" t="str">
        <f>HYPERLINK("https://zfin.org/ZDB-GENE-041014-252")</f>
        <v>https://zfin.org/ZDB-GENE-041014-252</v>
      </c>
      <c r="K1035" t="s">
        <v>3103</v>
      </c>
    </row>
    <row r="1036" spans="1:11" x14ac:dyDescent="0.2">
      <c r="A1036">
        <v>1.7327247332475499E-12</v>
      </c>
      <c r="B1036">
        <v>-0.92886963556983704</v>
      </c>
      <c r="C1036">
        <v>0.105</v>
      </c>
      <c r="D1036">
        <v>0.41499999999999998</v>
      </c>
      <c r="E1036">
        <v>2.6827777044871702E-8</v>
      </c>
      <c r="F1036">
        <v>1</v>
      </c>
      <c r="G1036" t="s">
        <v>3104</v>
      </c>
      <c r="H1036" t="s">
        <v>3105</v>
      </c>
      <c r="I1036" t="s">
        <v>3104</v>
      </c>
      <c r="J1036" s="1" t="str">
        <f>HYPERLINK("https://zfin.org/ZDB-GENE-030131-180")</f>
        <v>https://zfin.org/ZDB-GENE-030131-180</v>
      </c>
      <c r="K1036" t="s">
        <v>3106</v>
      </c>
    </row>
    <row r="1037" spans="1:11" x14ac:dyDescent="0.2">
      <c r="A1037">
        <v>1.75819156629011E-12</v>
      </c>
      <c r="B1037">
        <v>-0.87315108014824305</v>
      </c>
      <c r="C1037">
        <v>0.52600000000000002</v>
      </c>
      <c r="D1037">
        <v>0.63400000000000001</v>
      </c>
      <c r="E1037">
        <v>2.72220800208697E-8</v>
      </c>
      <c r="F1037">
        <v>1</v>
      </c>
      <c r="G1037" t="s">
        <v>3107</v>
      </c>
      <c r="H1037" t="s">
        <v>3108</v>
      </c>
      <c r="I1037" t="s">
        <v>3107</v>
      </c>
      <c r="J1037" s="1" t="str">
        <f>HYPERLINK("https://zfin.org/ZDB-GENE-030131-269")</f>
        <v>https://zfin.org/ZDB-GENE-030131-269</v>
      </c>
      <c r="K1037" t="s">
        <v>3109</v>
      </c>
    </row>
    <row r="1038" spans="1:11" x14ac:dyDescent="0.2">
      <c r="A1038">
        <v>2.2228552358213199E-12</v>
      </c>
      <c r="B1038">
        <v>-0.94029474610739505</v>
      </c>
      <c r="C1038">
        <v>0.58799999999999997</v>
      </c>
      <c r="D1038">
        <v>0.67200000000000004</v>
      </c>
      <c r="E1038">
        <v>3.44164676162215E-8</v>
      </c>
      <c r="F1038">
        <v>1</v>
      </c>
      <c r="G1038" t="s">
        <v>3110</v>
      </c>
      <c r="H1038" t="s">
        <v>3111</v>
      </c>
      <c r="I1038" t="s">
        <v>3110</v>
      </c>
      <c r="J1038" s="1" t="str">
        <f>HYPERLINK("https://zfin.org/ZDB-GENE-000511-4")</f>
        <v>https://zfin.org/ZDB-GENE-000511-4</v>
      </c>
      <c r="K1038" t="s">
        <v>3112</v>
      </c>
    </row>
    <row r="1039" spans="1:11" x14ac:dyDescent="0.2">
      <c r="A1039">
        <v>2.7427483738595599E-12</v>
      </c>
      <c r="B1039">
        <v>0.31060142720790002</v>
      </c>
      <c r="C1039">
        <v>0.754</v>
      </c>
      <c r="D1039">
        <v>0.33900000000000002</v>
      </c>
      <c r="E1039">
        <v>4.2465973072467599E-8</v>
      </c>
      <c r="F1039">
        <v>1</v>
      </c>
      <c r="G1039" t="s">
        <v>3113</v>
      </c>
      <c r="H1039" t="s">
        <v>3114</v>
      </c>
      <c r="I1039" t="s">
        <v>3113</v>
      </c>
      <c r="J1039" s="1" t="str">
        <f>HYPERLINK("https://zfin.org/ZDB-GENE-121005-1")</f>
        <v>https://zfin.org/ZDB-GENE-121005-1</v>
      </c>
      <c r="K1039" t="s">
        <v>3115</v>
      </c>
    </row>
    <row r="1040" spans="1:11" x14ac:dyDescent="0.2">
      <c r="A1040">
        <v>2.9424887815266598E-12</v>
      </c>
      <c r="B1040">
        <v>0.27886323945768898</v>
      </c>
      <c r="C1040">
        <v>0.623</v>
      </c>
      <c r="D1040">
        <v>0.255</v>
      </c>
      <c r="E1040">
        <v>4.5558553804377299E-8</v>
      </c>
      <c r="F1040">
        <v>1</v>
      </c>
      <c r="G1040" t="s">
        <v>3116</v>
      </c>
      <c r="H1040" t="s">
        <v>3117</v>
      </c>
      <c r="I1040" t="s">
        <v>3116</v>
      </c>
      <c r="J1040" s="1" t="str">
        <f>HYPERLINK("https://zfin.org/ZDB-GENE-040718-185")</f>
        <v>https://zfin.org/ZDB-GENE-040718-185</v>
      </c>
      <c r="K1040" t="s">
        <v>3118</v>
      </c>
    </row>
    <row r="1041" spans="1:11" x14ac:dyDescent="0.2">
      <c r="A1041">
        <v>3.0425993869029299E-12</v>
      </c>
      <c r="B1041">
        <v>0.35022246817997499</v>
      </c>
      <c r="C1041">
        <v>0.84199999999999997</v>
      </c>
      <c r="D1041">
        <v>0.40300000000000002</v>
      </c>
      <c r="E1041">
        <v>4.7108566307418097E-8</v>
      </c>
      <c r="F1041">
        <v>1</v>
      </c>
      <c r="G1041" t="s">
        <v>3119</v>
      </c>
      <c r="H1041" t="s">
        <v>3120</v>
      </c>
      <c r="I1041" t="s">
        <v>3119</v>
      </c>
      <c r="J1041" s="1" t="str">
        <f>HYPERLINK("https://zfin.org/ZDB-GENE-050913-114")</f>
        <v>https://zfin.org/ZDB-GENE-050913-114</v>
      </c>
      <c r="K1041" t="s">
        <v>3121</v>
      </c>
    </row>
    <row r="1042" spans="1:11" x14ac:dyDescent="0.2">
      <c r="A1042">
        <v>3.2818947422592202E-12</v>
      </c>
      <c r="B1042">
        <v>-0.90718458512771405</v>
      </c>
      <c r="C1042">
        <v>2.5999999999999999E-2</v>
      </c>
      <c r="D1042">
        <v>0.34100000000000003</v>
      </c>
      <c r="E1042">
        <v>5.08135762943996E-8</v>
      </c>
      <c r="F1042">
        <v>1</v>
      </c>
      <c r="G1042" t="s">
        <v>3122</v>
      </c>
      <c r="H1042" t="s">
        <v>3123</v>
      </c>
      <c r="I1042" t="s">
        <v>3122</v>
      </c>
      <c r="J1042" s="1" t="str">
        <f>HYPERLINK("https://zfin.org/ZDB-GENE-041010-30")</f>
        <v>https://zfin.org/ZDB-GENE-041010-30</v>
      </c>
      <c r="K1042" t="s">
        <v>3124</v>
      </c>
    </row>
    <row r="1043" spans="1:11" x14ac:dyDescent="0.2">
      <c r="A1043">
        <v>3.44941747629683E-12</v>
      </c>
      <c r="B1043">
        <v>0.25695577437768302</v>
      </c>
      <c r="C1043">
        <v>0.246</v>
      </c>
      <c r="D1043">
        <v>0.06</v>
      </c>
      <c r="E1043">
        <v>5.3407330785503801E-8</v>
      </c>
      <c r="F1043">
        <v>1</v>
      </c>
      <c r="G1043" t="s">
        <v>3125</v>
      </c>
      <c r="H1043" t="s">
        <v>3126</v>
      </c>
      <c r="I1043" t="s">
        <v>3125</v>
      </c>
      <c r="J1043" s="1" t="str">
        <f>HYPERLINK("https://zfin.org/ZDB-GENE-090908-3")</f>
        <v>https://zfin.org/ZDB-GENE-090908-3</v>
      </c>
      <c r="K1043" t="s">
        <v>3127</v>
      </c>
    </row>
    <row r="1044" spans="1:11" x14ac:dyDescent="0.2">
      <c r="A1044">
        <v>4.7026161451682E-12</v>
      </c>
      <c r="B1044">
        <v>-0.86084508967841</v>
      </c>
      <c r="C1044">
        <v>0.13200000000000001</v>
      </c>
      <c r="D1044">
        <v>0.43099999999999999</v>
      </c>
      <c r="E1044">
        <v>7.2810605775639305E-8</v>
      </c>
      <c r="F1044">
        <v>1</v>
      </c>
      <c r="G1044" t="s">
        <v>3128</v>
      </c>
      <c r="H1044" t="s">
        <v>3129</v>
      </c>
      <c r="I1044" t="s">
        <v>3128</v>
      </c>
      <c r="J1044" s="1" t="str">
        <f>HYPERLINK("https://zfin.org/ZDB-GENE-040426-1304")</f>
        <v>https://zfin.org/ZDB-GENE-040426-1304</v>
      </c>
      <c r="K1044" t="s">
        <v>3130</v>
      </c>
    </row>
    <row r="1045" spans="1:11" x14ac:dyDescent="0.2">
      <c r="A1045">
        <v>4.9934961501552303E-12</v>
      </c>
      <c r="B1045">
        <v>0.32632959402474698</v>
      </c>
      <c r="C1045">
        <v>1</v>
      </c>
      <c r="D1045">
        <v>0.64100000000000001</v>
      </c>
      <c r="E1045">
        <v>7.7314300892853502E-8</v>
      </c>
      <c r="F1045">
        <v>1</v>
      </c>
      <c r="G1045" t="s">
        <v>3131</v>
      </c>
      <c r="H1045" t="s">
        <v>3132</v>
      </c>
      <c r="I1045" t="s">
        <v>3131</v>
      </c>
      <c r="J1045" s="1" t="str">
        <f>HYPERLINK("https://zfin.org/ZDB-GENE-011205-7")</f>
        <v>https://zfin.org/ZDB-GENE-011205-7</v>
      </c>
      <c r="K1045" t="s">
        <v>3133</v>
      </c>
    </row>
    <row r="1046" spans="1:11" x14ac:dyDescent="0.2">
      <c r="A1046">
        <v>5.0502441917067099E-12</v>
      </c>
      <c r="B1046">
        <v>-0.42816584879602598</v>
      </c>
      <c r="C1046">
        <v>0.99099999999999999</v>
      </c>
      <c r="D1046">
        <v>0.91800000000000004</v>
      </c>
      <c r="E1046">
        <v>7.8192930820195094E-8</v>
      </c>
      <c r="F1046">
        <v>1</v>
      </c>
      <c r="G1046" t="s">
        <v>3134</v>
      </c>
      <c r="H1046" t="s">
        <v>3135</v>
      </c>
      <c r="I1046" t="s">
        <v>3134</v>
      </c>
      <c r="J1046" s="1" t="str">
        <f>HYPERLINK("https://zfin.org/ZDB-GENE-030131-8671")</f>
        <v>https://zfin.org/ZDB-GENE-030131-8671</v>
      </c>
      <c r="K1046" t="s">
        <v>3136</v>
      </c>
    </row>
    <row r="1047" spans="1:11" x14ac:dyDescent="0.2">
      <c r="A1047">
        <v>7.9712578252977697E-12</v>
      </c>
      <c r="B1047">
        <v>0.31439845191948201</v>
      </c>
      <c r="C1047">
        <v>0.98199999999999998</v>
      </c>
      <c r="D1047">
        <v>0.69099999999999995</v>
      </c>
      <c r="E1047">
        <v>1.2341898490908499E-7</v>
      </c>
      <c r="F1047">
        <v>1</v>
      </c>
      <c r="G1047" t="s">
        <v>3137</v>
      </c>
      <c r="H1047" t="s">
        <v>3138</v>
      </c>
      <c r="I1047" t="s">
        <v>3137</v>
      </c>
      <c r="J1047" s="1" t="str">
        <f>HYPERLINK("https://zfin.org/ZDB-GENE-011205-8")</f>
        <v>https://zfin.org/ZDB-GENE-011205-8</v>
      </c>
      <c r="K1047" t="s">
        <v>3139</v>
      </c>
    </row>
    <row r="1048" spans="1:11" x14ac:dyDescent="0.2">
      <c r="A1048">
        <v>9.5286033179451404E-12</v>
      </c>
      <c r="B1048">
        <v>-0.89256239488185996</v>
      </c>
      <c r="C1048">
        <v>4.3999999999999997E-2</v>
      </c>
      <c r="D1048">
        <v>0.34799999999999998</v>
      </c>
      <c r="E1048">
        <v>1.4753136517174501E-7</v>
      </c>
      <c r="F1048">
        <v>1</v>
      </c>
      <c r="G1048" t="s">
        <v>3140</v>
      </c>
      <c r="H1048" t="s">
        <v>3141</v>
      </c>
      <c r="I1048" t="s">
        <v>3140</v>
      </c>
      <c r="J1048" s="1" t="str">
        <f>HYPERLINK("https://zfin.org/ZDB-GENE-050809-115")</f>
        <v>https://zfin.org/ZDB-GENE-050809-115</v>
      </c>
      <c r="K1048" t="s">
        <v>3142</v>
      </c>
    </row>
    <row r="1049" spans="1:11" x14ac:dyDescent="0.2">
      <c r="A1049">
        <v>1.0589936485459699E-11</v>
      </c>
      <c r="B1049">
        <v>-1.2546848755754001</v>
      </c>
      <c r="C1049">
        <v>0.38600000000000001</v>
      </c>
      <c r="D1049">
        <v>0.57599999999999996</v>
      </c>
      <c r="E1049">
        <v>1.6396398660437201E-7</v>
      </c>
      <c r="F1049">
        <v>1</v>
      </c>
      <c r="G1049" t="s">
        <v>3143</v>
      </c>
      <c r="H1049" t="s">
        <v>3144</v>
      </c>
      <c r="I1049" t="s">
        <v>3143</v>
      </c>
      <c r="J1049" s="1" t="str">
        <f>HYPERLINK("https://zfin.org/ZDB-GENE-030131-8760")</f>
        <v>https://zfin.org/ZDB-GENE-030131-8760</v>
      </c>
      <c r="K1049" t="s">
        <v>3145</v>
      </c>
    </row>
    <row r="1050" spans="1:11" x14ac:dyDescent="0.2">
      <c r="A1050">
        <v>1.2465795548595099E-11</v>
      </c>
      <c r="B1050">
        <v>-0.62189153675767805</v>
      </c>
      <c r="C1050">
        <v>0.81599999999999995</v>
      </c>
      <c r="D1050">
        <v>0.77100000000000002</v>
      </c>
      <c r="E1050">
        <v>1.93007912478897E-7</v>
      </c>
      <c r="F1050">
        <v>1</v>
      </c>
      <c r="G1050" t="s">
        <v>3146</v>
      </c>
      <c r="H1050" t="s">
        <v>3147</v>
      </c>
      <c r="I1050" t="s">
        <v>3146</v>
      </c>
      <c r="J1050" s="1" t="str">
        <f>HYPERLINK("https://zfin.org/ZDB-GENE-061013-323")</f>
        <v>https://zfin.org/ZDB-GENE-061013-323</v>
      </c>
      <c r="K1050" t="s">
        <v>3148</v>
      </c>
    </row>
    <row r="1051" spans="1:11" x14ac:dyDescent="0.2">
      <c r="A1051">
        <v>1.3145878539968199E-11</v>
      </c>
      <c r="B1051">
        <v>-0.53280877876500998</v>
      </c>
      <c r="C1051">
        <v>0.95599999999999996</v>
      </c>
      <c r="D1051">
        <v>0.878</v>
      </c>
      <c r="E1051">
        <v>2.0353763743432799E-7</v>
      </c>
      <c r="F1051">
        <v>1</v>
      </c>
      <c r="G1051" t="s">
        <v>3149</v>
      </c>
      <c r="H1051" t="s">
        <v>3150</v>
      </c>
      <c r="I1051" t="s">
        <v>3149</v>
      </c>
      <c r="J1051" s="1" t="str">
        <f>HYPERLINK("https://zfin.org/ZDB-GENE-030131-925")</f>
        <v>https://zfin.org/ZDB-GENE-030131-925</v>
      </c>
      <c r="K1051" t="s">
        <v>3151</v>
      </c>
    </row>
    <row r="1052" spans="1:11" x14ac:dyDescent="0.2">
      <c r="A1052">
        <v>1.3400436629966999E-11</v>
      </c>
      <c r="B1052">
        <v>0.376577045288217</v>
      </c>
      <c r="C1052">
        <v>0.79800000000000004</v>
      </c>
      <c r="D1052">
        <v>0.40799999999999997</v>
      </c>
      <c r="E1052">
        <v>2.07478960341779E-7</v>
      </c>
      <c r="F1052">
        <v>1</v>
      </c>
      <c r="G1052" t="s">
        <v>3152</v>
      </c>
      <c r="H1052" t="s">
        <v>3153</v>
      </c>
      <c r="I1052" t="s">
        <v>3152</v>
      </c>
      <c r="J1052" s="1" t="str">
        <f>HYPERLINK("https://zfin.org/ZDB-GENE-030131-5234")</f>
        <v>https://zfin.org/ZDB-GENE-030131-5234</v>
      </c>
      <c r="K1052" t="s">
        <v>3154</v>
      </c>
    </row>
    <row r="1053" spans="1:11" x14ac:dyDescent="0.2">
      <c r="A1053">
        <v>1.36775556104116E-11</v>
      </c>
      <c r="B1053">
        <v>-0.86138432783710495</v>
      </c>
      <c r="C1053">
        <v>7.0000000000000007E-2</v>
      </c>
      <c r="D1053">
        <v>0.37</v>
      </c>
      <c r="E1053">
        <v>2.11769593516003E-7</v>
      </c>
      <c r="F1053">
        <v>1</v>
      </c>
      <c r="G1053" t="s">
        <v>3155</v>
      </c>
      <c r="H1053" t="s">
        <v>3156</v>
      </c>
      <c r="I1053" t="s">
        <v>3155</v>
      </c>
      <c r="J1053" s="1" t="str">
        <f>HYPERLINK("https://zfin.org/")</f>
        <v>https://zfin.org/</v>
      </c>
    </row>
    <row r="1054" spans="1:11" x14ac:dyDescent="0.2">
      <c r="A1054">
        <v>1.37287926180598E-11</v>
      </c>
      <c r="B1054">
        <v>-1.66470903599201</v>
      </c>
      <c r="C1054">
        <v>0.60499999999999998</v>
      </c>
      <c r="D1054">
        <v>0.66800000000000004</v>
      </c>
      <c r="E1054">
        <v>2.1256289610541901E-7</v>
      </c>
      <c r="F1054">
        <v>1</v>
      </c>
      <c r="G1054" t="s">
        <v>3157</v>
      </c>
      <c r="H1054" t="s">
        <v>3158</v>
      </c>
      <c r="I1054" t="s">
        <v>3157</v>
      </c>
      <c r="J1054" s="1" t="str">
        <f>HYPERLINK("https://zfin.org/")</f>
        <v>https://zfin.org/</v>
      </c>
    </row>
    <row r="1055" spans="1:11" x14ac:dyDescent="0.2">
      <c r="A1055">
        <v>1.4597410200810001E-11</v>
      </c>
      <c r="B1055">
        <v>-0.85751188982311199</v>
      </c>
      <c r="C1055">
        <v>0.70199999999999996</v>
      </c>
      <c r="D1055">
        <v>0.70599999999999996</v>
      </c>
      <c r="E1055">
        <v>2.26011702139142E-7</v>
      </c>
      <c r="F1055">
        <v>1</v>
      </c>
      <c r="G1055" t="s">
        <v>3159</v>
      </c>
      <c r="H1055" t="s">
        <v>3160</v>
      </c>
      <c r="I1055" t="s">
        <v>3110</v>
      </c>
      <c r="J1055" s="1" t="str">
        <f>HYPERLINK("https://zfin.org/ZDB-GENE-000511-4")</f>
        <v>https://zfin.org/ZDB-GENE-000511-4</v>
      </c>
      <c r="K1055" t="s">
        <v>3112</v>
      </c>
    </row>
    <row r="1056" spans="1:11" x14ac:dyDescent="0.2">
      <c r="A1056">
        <v>2.0776392016364401E-11</v>
      </c>
      <c r="B1056">
        <v>-1.0069727138307101</v>
      </c>
      <c r="C1056">
        <v>0.13200000000000001</v>
      </c>
      <c r="D1056">
        <v>0.41599999999999998</v>
      </c>
      <c r="E1056">
        <v>3.2168087758936998E-7</v>
      </c>
      <c r="F1056">
        <v>1</v>
      </c>
      <c r="G1056" t="s">
        <v>3161</v>
      </c>
      <c r="H1056" t="s">
        <v>3162</v>
      </c>
      <c r="I1056" t="s">
        <v>3161</v>
      </c>
      <c r="J1056" s="1" t="str">
        <f>HYPERLINK("https://zfin.org/ZDB-GENE-030131-2415")</f>
        <v>https://zfin.org/ZDB-GENE-030131-2415</v>
      </c>
      <c r="K1056" t="s">
        <v>3163</v>
      </c>
    </row>
    <row r="1057" spans="1:11" x14ac:dyDescent="0.2">
      <c r="A1057">
        <v>2.2483824017308002E-11</v>
      </c>
      <c r="B1057">
        <v>0.28784671143752999</v>
      </c>
      <c r="C1057">
        <v>0.43</v>
      </c>
      <c r="D1057">
        <v>0.156</v>
      </c>
      <c r="E1057">
        <v>3.4811704725997999E-7</v>
      </c>
      <c r="F1057">
        <v>1</v>
      </c>
      <c r="G1057" t="s">
        <v>3164</v>
      </c>
      <c r="H1057" t="s">
        <v>3165</v>
      </c>
      <c r="I1057" t="s">
        <v>3164</v>
      </c>
      <c r="J1057" s="1" t="str">
        <f>HYPERLINK("https://zfin.org/ZDB-GENE-040426-919")</f>
        <v>https://zfin.org/ZDB-GENE-040426-919</v>
      </c>
      <c r="K1057" t="s">
        <v>3166</v>
      </c>
    </row>
    <row r="1058" spans="1:11" x14ac:dyDescent="0.2">
      <c r="A1058">
        <v>2.25987449619911E-11</v>
      </c>
      <c r="B1058">
        <v>-1.0763522054222501</v>
      </c>
      <c r="C1058">
        <v>0.22800000000000001</v>
      </c>
      <c r="D1058">
        <v>0.48899999999999999</v>
      </c>
      <c r="E1058">
        <v>3.4989636824650801E-7</v>
      </c>
      <c r="F1058">
        <v>1</v>
      </c>
      <c r="G1058" t="s">
        <v>3167</v>
      </c>
      <c r="H1058" t="s">
        <v>3168</v>
      </c>
      <c r="I1058" t="s">
        <v>3167</v>
      </c>
      <c r="J1058" s="1" t="str">
        <f>HYPERLINK("https://zfin.org/ZDB-GENE-030131-7332")</f>
        <v>https://zfin.org/ZDB-GENE-030131-7332</v>
      </c>
      <c r="K1058" t="s">
        <v>3169</v>
      </c>
    </row>
    <row r="1059" spans="1:11" x14ac:dyDescent="0.2">
      <c r="A1059">
        <v>2.5645308771965702E-11</v>
      </c>
      <c r="B1059">
        <v>-1.0539377706775701</v>
      </c>
      <c r="C1059">
        <v>0.123</v>
      </c>
      <c r="D1059">
        <v>0.40899999999999997</v>
      </c>
      <c r="E1059">
        <v>3.97066315716345E-7</v>
      </c>
      <c r="F1059">
        <v>1</v>
      </c>
      <c r="G1059" t="s">
        <v>3170</v>
      </c>
      <c r="H1059" t="s">
        <v>3171</v>
      </c>
      <c r="I1059" t="s">
        <v>3170</v>
      </c>
      <c r="J1059" s="1" t="str">
        <f>HYPERLINK("https://zfin.org/ZDB-GENE-090915-6")</f>
        <v>https://zfin.org/ZDB-GENE-090915-6</v>
      </c>
      <c r="K1059" t="s">
        <v>3172</v>
      </c>
    </row>
    <row r="1060" spans="1:11" x14ac:dyDescent="0.2">
      <c r="A1060">
        <v>2.6311596475511E-11</v>
      </c>
      <c r="B1060">
        <v>-0.92762819031356702</v>
      </c>
      <c r="C1060">
        <v>0.184</v>
      </c>
      <c r="D1060">
        <v>0.44600000000000001</v>
      </c>
      <c r="E1060">
        <v>4.0738244823033698E-7</v>
      </c>
      <c r="F1060">
        <v>1</v>
      </c>
      <c r="G1060" t="s">
        <v>3173</v>
      </c>
      <c r="H1060" t="s">
        <v>3174</v>
      </c>
      <c r="I1060" t="s">
        <v>3173</v>
      </c>
      <c r="J1060" s="1" t="str">
        <f>HYPERLINK("https://zfin.org/ZDB-GENE-030131-8466")</f>
        <v>https://zfin.org/ZDB-GENE-030131-8466</v>
      </c>
      <c r="K1060" t="s">
        <v>3175</v>
      </c>
    </row>
    <row r="1061" spans="1:11" x14ac:dyDescent="0.2">
      <c r="A1061">
        <v>2.67741936438887E-11</v>
      </c>
      <c r="B1061">
        <v>-1.01654004281077</v>
      </c>
      <c r="C1061">
        <v>0.193</v>
      </c>
      <c r="D1061">
        <v>0.45600000000000002</v>
      </c>
      <c r="E1061">
        <v>4.1454484018832802E-7</v>
      </c>
      <c r="F1061">
        <v>1</v>
      </c>
      <c r="G1061" t="s">
        <v>3176</v>
      </c>
      <c r="H1061" t="s">
        <v>3177</v>
      </c>
      <c r="I1061" t="s">
        <v>3176</v>
      </c>
      <c r="J1061" s="1" t="str">
        <f>HYPERLINK("https://zfin.org/ZDB-GENE-990415-38")</f>
        <v>https://zfin.org/ZDB-GENE-990415-38</v>
      </c>
      <c r="K1061" t="s">
        <v>3178</v>
      </c>
    </row>
    <row r="1062" spans="1:11" x14ac:dyDescent="0.2">
      <c r="A1062">
        <v>3.1009292595151497E-11</v>
      </c>
      <c r="B1062">
        <v>-0.91756909439073098</v>
      </c>
      <c r="C1062">
        <v>0.27200000000000002</v>
      </c>
      <c r="D1062">
        <v>0.51</v>
      </c>
      <c r="E1062">
        <v>4.8011687725073095E-7</v>
      </c>
      <c r="F1062">
        <v>1</v>
      </c>
      <c r="G1062" t="s">
        <v>3179</v>
      </c>
      <c r="H1062" t="s">
        <v>3180</v>
      </c>
      <c r="I1062" t="s">
        <v>3179</v>
      </c>
      <c r="J1062" s="1" t="str">
        <f>HYPERLINK("https://zfin.org/ZDB-GENE-030131-9435")</f>
        <v>https://zfin.org/ZDB-GENE-030131-9435</v>
      </c>
      <c r="K1062" t="s">
        <v>3181</v>
      </c>
    </row>
    <row r="1063" spans="1:11" x14ac:dyDescent="0.2">
      <c r="A1063">
        <v>3.2038220250533698E-11</v>
      </c>
      <c r="B1063">
        <v>0.33194085585382599</v>
      </c>
      <c r="C1063">
        <v>0.77200000000000002</v>
      </c>
      <c r="D1063">
        <v>0.35899999999999999</v>
      </c>
      <c r="E1063">
        <v>4.9604776413901297E-7</v>
      </c>
      <c r="F1063">
        <v>1</v>
      </c>
      <c r="G1063" t="s">
        <v>3182</v>
      </c>
      <c r="H1063" t="s">
        <v>3183</v>
      </c>
      <c r="I1063" t="s">
        <v>3182</v>
      </c>
      <c r="J1063" s="1" t="str">
        <f>HYPERLINK("https://zfin.org/ZDB-GENE-031105-2")</f>
        <v>https://zfin.org/ZDB-GENE-031105-2</v>
      </c>
      <c r="K1063" t="s">
        <v>3184</v>
      </c>
    </row>
    <row r="1064" spans="1:11" x14ac:dyDescent="0.2">
      <c r="A1064">
        <v>3.6749205239204699E-11</v>
      </c>
      <c r="B1064">
        <v>-0.491389771818389</v>
      </c>
      <c r="C1064">
        <v>0.97399999999999998</v>
      </c>
      <c r="D1064">
        <v>0.84299999999999997</v>
      </c>
      <c r="E1064">
        <v>5.6898794471860705E-7</v>
      </c>
      <c r="F1064">
        <v>1</v>
      </c>
      <c r="G1064" t="s">
        <v>3185</v>
      </c>
      <c r="H1064" t="s">
        <v>3186</v>
      </c>
      <c r="I1064" t="s">
        <v>3185</v>
      </c>
      <c r="J1064" s="1" t="str">
        <f>HYPERLINK("https://zfin.org/ZDB-GENE-020423-4")</f>
        <v>https://zfin.org/ZDB-GENE-020423-4</v>
      </c>
      <c r="K1064" t="s">
        <v>3187</v>
      </c>
    </row>
    <row r="1065" spans="1:11" x14ac:dyDescent="0.2">
      <c r="A1065">
        <v>3.9337613241551998E-11</v>
      </c>
      <c r="B1065">
        <v>-0.59723096945809895</v>
      </c>
      <c r="C1065">
        <v>0.89500000000000002</v>
      </c>
      <c r="D1065">
        <v>0.77200000000000002</v>
      </c>
      <c r="E1065">
        <v>6.0906426581894998E-7</v>
      </c>
      <c r="F1065">
        <v>1</v>
      </c>
      <c r="G1065" t="s">
        <v>3188</v>
      </c>
      <c r="H1065" t="s">
        <v>3189</v>
      </c>
      <c r="I1065" t="s">
        <v>3188</v>
      </c>
      <c r="J1065" s="1" t="str">
        <f>HYPERLINK("https://zfin.org/ZDB-GENE-020423-3")</f>
        <v>https://zfin.org/ZDB-GENE-020423-3</v>
      </c>
      <c r="K1065" t="s">
        <v>3190</v>
      </c>
    </row>
    <row r="1066" spans="1:11" x14ac:dyDescent="0.2">
      <c r="A1066">
        <v>4.6027768875409998E-11</v>
      </c>
      <c r="B1066">
        <v>0.268012645784166</v>
      </c>
      <c r="C1066">
        <v>0.27200000000000002</v>
      </c>
      <c r="D1066">
        <v>7.8E-2</v>
      </c>
      <c r="E1066">
        <v>7.1264794549797303E-7</v>
      </c>
      <c r="F1066">
        <v>1</v>
      </c>
      <c r="G1066" t="s">
        <v>3191</v>
      </c>
      <c r="H1066" t="s">
        <v>3192</v>
      </c>
      <c r="I1066" t="s">
        <v>3191</v>
      </c>
      <c r="J1066" s="1" t="str">
        <f>HYPERLINK("https://zfin.org/ZDB-GENE-120215-228")</f>
        <v>https://zfin.org/ZDB-GENE-120215-228</v>
      </c>
      <c r="K1066" t="s">
        <v>3193</v>
      </c>
    </row>
    <row r="1067" spans="1:11" x14ac:dyDescent="0.2">
      <c r="A1067">
        <v>6.0074584570439404E-11</v>
      </c>
      <c r="B1067">
        <v>0.29002875696011798</v>
      </c>
      <c r="C1067">
        <v>0.71899999999999997</v>
      </c>
      <c r="D1067">
        <v>0.33</v>
      </c>
      <c r="E1067">
        <v>9.3013479290411397E-7</v>
      </c>
      <c r="F1067">
        <v>1</v>
      </c>
      <c r="G1067" t="s">
        <v>3194</v>
      </c>
      <c r="H1067" t="s">
        <v>3195</v>
      </c>
      <c r="I1067" t="s">
        <v>3194</v>
      </c>
      <c r="J1067" s="1" t="str">
        <f>HYPERLINK("https://zfin.org/ZDB-GENE-030131-1024")</f>
        <v>https://zfin.org/ZDB-GENE-030131-1024</v>
      </c>
      <c r="K1067" t="s">
        <v>3196</v>
      </c>
    </row>
    <row r="1068" spans="1:11" x14ac:dyDescent="0.2">
      <c r="A1068">
        <v>6.2634837073192703E-11</v>
      </c>
      <c r="B1068">
        <v>0.28944251788901998</v>
      </c>
      <c r="C1068">
        <v>0.86799999999999999</v>
      </c>
      <c r="D1068">
        <v>0.42199999999999999</v>
      </c>
      <c r="E1068">
        <v>9.6977518240424307E-7</v>
      </c>
      <c r="F1068">
        <v>1</v>
      </c>
      <c r="G1068" t="s">
        <v>3197</v>
      </c>
      <c r="H1068" t="s">
        <v>3198</v>
      </c>
      <c r="I1068" t="s">
        <v>3197</v>
      </c>
      <c r="J1068" s="1" t="str">
        <f>HYPERLINK("https://zfin.org/ZDB-GENE-040718-136")</f>
        <v>https://zfin.org/ZDB-GENE-040718-136</v>
      </c>
      <c r="K1068" t="s">
        <v>3199</v>
      </c>
    </row>
    <row r="1069" spans="1:11" x14ac:dyDescent="0.2">
      <c r="A1069">
        <v>6.4941334302400706E-11</v>
      </c>
      <c r="B1069">
        <v>-0.94851033766853199</v>
      </c>
      <c r="C1069">
        <v>0.36799999999999999</v>
      </c>
      <c r="D1069">
        <v>0.55900000000000005</v>
      </c>
      <c r="E1069">
        <v>1.00548667900407E-6</v>
      </c>
      <c r="F1069">
        <v>1</v>
      </c>
      <c r="G1069" t="s">
        <v>3200</v>
      </c>
      <c r="H1069" t="s">
        <v>3201</v>
      </c>
      <c r="I1069" t="s">
        <v>3200</v>
      </c>
      <c r="J1069" s="1" t="str">
        <f>HYPERLINK("https://zfin.org/ZDB-GENE-040808-35")</f>
        <v>https://zfin.org/ZDB-GENE-040808-35</v>
      </c>
      <c r="K1069" t="s">
        <v>3202</v>
      </c>
    </row>
    <row r="1070" spans="1:11" x14ac:dyDescent="0.2">
      <c r="A1070">
        <v>7.1767817228977799E-11</v>
      </c>
      <c r="B1070">
        <v>-0.88697124342354405</v>
      </c>
      <c r="C1070">
        <v>0.114</v>
      </c>
      <c r="D1070">
        <v>0.40200000000000002</v>
      </c>
      <c r="E1070">
        <v>1.1111811141562599E-6</v>
      </c>
      <c r="F1070">
        <v>1</v>
      </c>
      <c r="G1070" t="s">
        <v>3203</v>
      </c>
      <c r="H1070" t="s">
        <v>3204</v>
      </c>
      <c r="I1070" t="s">
        <v>3203</v>
      </c>
      <c r="J1070" s="1" t="str">
        <f>HYPERLINK("https://zfin.org/ZDB-GENE-030131-5344")</f>
        <v>https://zfin.org/ZDB-GENE-030131-5344</v>
      </c>
      <c r="K1070" t="s">
        <v>3205</v>
      </c>
    </row>
    <row r="1071" spans="1:11" x14ac:dyDescent="0.2">
      <c r="A1071">
        <v>7.3951614232006495E-11</v>
      </c>
      <c r="B1071">
        <v>0.32434752468540701</v>
      </c>
      <c r="C1071">
        <v>0.98199999999999998</v>
      </c>
      <c r="D1071">
        <v>0.65400000000000003</v>
      </c>
      <c r="E1071">
        <v>1.14499284315416E-6</v>
      </c>
      <c r="F1071">
        <v>1</v>
      </c>
      <c r="G1071" t="s">
        <v>3206</v>
      </c>
      <c r="H1071" t="s">
        <v>3207</v>
      </c>
      <c r="I1071" t="s">
        <v>3206</v>
      </c>
      <c r="J1071" s="1" t="str">
        <f>HYPERLINK("https://zfin.org/ZDB-GENE-030131-5177")</f>
        <v>https://zfin.org/ZDB-GENE-030131-5177</v>
      </c>
      <c r="K1071" t="s">
        <v>3208</v>
      </c>
    </row>
    <row r="1072" spans="1:11" x14ac:dyDescent="0.2">
      <c r="A1072">
        <v>8.0550571452487398E-11</v>
      </c>
      <c r="B1072">
        <v>-0.95213481781700304</v>
      </c>
      <c r="C1072">
        <v>0.105</v>
      </c>
      <c r="D1072">
        <v>0.38300000000000001</v>
      </c>
      <c r="E1072">
        <v>1.24716449779886E-6</v>
      </c>
      <c r="F1072">
        <v>1</v>
      </c>
      <c r="G1072" t="s">
        <v>3209</v>
      </c>
      <c r="H1072" t="s">
        <v>3210</v>
      </c>
      <c r="I1072" t="s">
        <v>3209</v>
      </c>
      <c r="J1072" s="1" t="str">
        <f>HYPERLINK("https://zfin.org/ZDB-GENE-130625-1")</f>
        <v>https://zfin.org/ZDB-GENE-130625-1</v>
      </c>
      <c r="K1072" t="s">
        <v>3211</v>
      </c>
    </row>
    <row r="1073" spans="1:11" x14ac:dyDescent="0.2">
      <c r="A1073">
        <v>8.6849508985450097E-11</v>
      </c>
      <c r="B1073">
        <v>0.255626121956535</v>
      </c>
      <c r="C1073">
        <v>0.70199999999999996</v>
      </c>
      <c r="D1073">
        <v>0.316</v>
      </c>
      <c r="E1073">
        <v>1.34469094762172E-6</v>
      </c>
      <c r="F1073">
        <v>1</v>
      </c>
      <c r="G1073" t="s">
        <v>3212</v>
      </c>
      <c r="H1073" t="s">
        <v>3213</v>
      </c>
      <c r="I1073" t="s">
        <v>3212</v>
      </c>
      <c r="J1073" s="1" t="str">
        <f>HYPERLINK("https://zfin.org/ZDB-GENE-070928-12")</f>
        <v>https://zfin.org/ZDB-GENE-070928-12</v>
      </c>
      <c r="K1073" t="s">
        <v>3214</v>
      </c>
    </row>
    <row r="1074" spans="1:11" x14ac:dyDescent="0.2">
      <c r="A1074">
        <v>8.8118751970054102E-11</v>
      </c>
      <c r="B1074">
        <v>0.36673524027056897</v>
      </c>
      <c r="C1074">
        <v>0.97399999999999998</v>
      </c>
      <c r="D1074">
        <v>0.67100000000000004</v>
      </c>
      <c r="E1074">
        <v>1.36434263675235E-6</v>
      </c>
      <c r="F1074">
        <v>1</v>
      </c>
      <c r="G1074" t="s">
        <v>3215</v>
      </c>
      <c r="H1074" t="s">
        <v>3216</v>
      </c>
      <c r="I1074" t="s">
        <v>3215</v>
      </c>
      <c r="J1074" s="1" t="str">
        <f>HYPERLINK("https://zfin.org/ZDB-GENE-000831-2")</f>
        <v>https://zfin.org/ZDB-GENE-000831-2</v>
      </c>
      <c r="K1074" t="s">
        <v>3217</v>
      </c>
    </row>
    <row r="1075" spans="1:11" x14ac:dyDescent="0.2">
      <c r="A1075">
        <v>1.2900887040264801E-10</v>
      </c>
      <c r="B1075">
        <v>0.31347281381509101</v>
      </c>
      <c r="C1075">
        <v>0.90400000000000003</v>
      </c>
      <c r="D1075">
        <v>0.501</v>
      </c>
      <c r="E1075">
        <v>1.9974443404441998E-6</v>
      </c>
      <c r="F1075">
        <v>1</v>
      </c>
      <c r="G1075" t="s">
        <v>3218</v>
      </c>
      <c r="H1075" t="s">
        <v>3219</v>
      </c>
      <c r="I1075" t="s">
        <v>3218</v>
      </c>
      <c r="J1075" s="1" t="str">
        <f>HYPERLINK("https://zfin.org/ZDB-GENE-040426-2151")</f>
        <v>https://zfin.org/ZDB-GENE-040426-2151</v>
      </c>
      <c r="K1075" t="s">
        <v>3220</v>
      </c>
    </row>
    <row r="1076" spans="1:11" x14ac:dyDescent="0.2">
      <c r="A1076">
        <v>1.2963320405945101E-10</v>
      </c>
      <c r="B1076">
        <v>0.31916922810540099</v>
      </c>
      <c r="C1076">
        <v>0.86799999999999999</v>
      </c>
      <c r="D1076">
        <v>0.45700000000000002</v>
      </c>
      <c r="E1076">
        <v>2.0071108984524801E-6</v>
      </c>
      <c r="F1076">
        <v>1</v>
      </c>
      <c r="G1076" t="s">
        <v>3221</v>
      </c>
      <c r="H1076" t="s">
        <v>3222</v>
      </c>
      <c r="I1076" t="s">
        <v>3221</v>
      </c>
      <c r="J1076" s="1" t="str">
        <f>HYPERLINK("https://zfin.org/ZDB-GENE-060201-1")</f>
        <v>https://zfin.org/ZDB-GENE-060201-1</v>
      </c>
      <c r="K1076" t="s">
        <v>3223</v>
      </c>
    </row>
    <row r="1077" spans="1:11" x14ac:dyDescent="0.2">
      <c r="A1077">
        <v>1.6445934165063501E-10</v>
      </c>
      <c r="B1077">
        <v>-0.96964502185312595</v>
      </c>
      <c r="C1077">
        <v>0.17499999999999999</v>
      </c>
      <c r="D1077">
        <v>0.434</v>
      </c>
      <c r="E1077">
        <v>2.5463239867767801E-6</v>
      </c>
      <c r="F1077">
        <v>1</v>
      </c>
      <c r="G1077" t="s">
        <v>3224</v>
      </c>
      <c r="H1077" t="s">
        <v>3225</v>
      </c>
      <c r="I1077" t="s">
        <v>3224</v>
      </c>
      <c r="J1077" s="1" t="str">
        <f>HYPERLINK("https://zfin.org/ZDB-GENE-010606-1")</f>
        <v>https://zfin.org/ZDB-GENE-010606-1</v>
      </c>
      <c r="K1077" t="s">
        <v>3226</v>
      </c>
    </row>
    <row r="1078" spans="1:11" x14ac:dyDescent="0.2">
      <c r="A1078">
        <v>1.6796385363479699E-10</v>
      </c>
      <c r="B1078">
        <v>-0.82367912821120104</v>
      </c>
      <c r="C1078">
        <v>0.38600000000000001</v>
      </c>
      <c r="D1078">
        <v>0.55700000000000005</v>
      </c>
      <c r="E1078">
        <v>2.6005843458275601E-6</v>
      </c>
      <c r="F1078">
        <v>1</v>
      </c>
      <c r="G1078" t="s">
        <v>3227</v>
      </c>
      <c r="H1078" t="s">
        <v>3228</v>
      </c>
      <c r="I1078" t="s">
        <v>3227</v>
      </c>
      <c r="J1078" s="1" t="str">
        <f>HYPERLINK("https://zfin.org/ZDB-GENE-040426-770")</f>
        <v>https://zfin.org/ZDB-GENE-040426-770</v>
      </c>
      <c r="K1078" t="s">
        <v>3229</v>
      </c>
    </row>
    <row r="1079" spans="1:11" x14ac:dyDescent="0.2">
      <c r="A1079">
        <v>1.8212782347106001E-10</v>
      </c>
      <c r="B1079">
        <v>-1.02147114241869</v>
      </c>
      <c r="C1079">
        <v>0.21099999999999999</v>
      </c>
      <c r="D1079">
        <v>0.45300000000000001</v>
      </c>
      <c r="E1079">
        <v>2.8198850908024102E-6</v>
      </c>
      <c r="F1079">
        <v>1</v>
      </c>
      <c r="G1079" t="s">
        <v>3230</v>
      </c>
      <c r="H1079" t="s">
        <v>3231</v>
      </c>
      <c r="I1079" t="s">
        <v>3230</v>
      </c>
      <c r="J1079" s="1" t="str">
        <f>HYPERLINK("https://zfin.org/ZDB-GENE-000607-70")</f>
        <v>https://zfin.org/ZDB-GENE-000607-70</v>
      </c>
      <c r="K1079" t="s">
        <v>3232</v>
      </c>
    </row>
    <row r="1080" spans="1:11" x14ac:dyDescent="0.2">
      <c r="A1080">
        <v>1.889796333746E-10</v>
      </c>
      <c r="B1080">
        <v>-0.87960553033496203</v>
      </c>
      <c r="C1080">
        <v>5.2999999999999999E-2</v>
      </c>
      <c r="D1080">
        <v>0.33</v>
      </c>
      <c r="E1080">
        <v>2.92597166353893E-6</v>
      </c>
      <c r="F1080">
        <v>1</v>
      </c>
      <c r="G1080" t="s">
        <v>3233</v>
      </c>
      <c r="H1080" t="s">
        <v>3234</v>
      </c>
      <c r="I1080" t="s">
        <v>3233</v>
      </c>
      <c r="J1080" s="1" t="str">
        <f>HYPERLINK("https://zfin.org/ZDB-GENE-030131-1452")</f>
        <v>https://zfin.org/ZDB-GENE-030131-1452</v>
      </c>
      <c r="K1080" t="s">
        <v>3235</v>
      </c>
    </row>
    <row r="1081" spans="1:11" x14ac:dyDescent="0.2">
      <c r="A1081">
        <v>2.2336667835071301E-10</v>
      </c>
      <c r="B1081">
        <v>-0.79733381105398005</v>
      </c>
      <c r="C1081">
        <v>0.43</v>
      </c>
      <c r="D1081">
        <v>0.57499999999999996</v>
      </c>
      <c r="E1081">
        <v>3.4583862809040899E-6</v>
      </c>
      <c r="F1081">
        <v>1</v>
      </c>
      <c r="G1081" t="s">
        <v>3236</v>
      </c>
      <c r="H1081" t="s">
        <v>3237</v>
      </c>
      <c r="I1081" t="s">
        <v>3236</v>
      </c>
      <c r="J1081" s="1" t="str">
        <f>HYPERLINK("https://zfin.org/ZDB-GENE-021206-13")</f>
        <v>https://zfin.org/ZDB-GENE-021206-13</v>
      </c>
      <c r="K1081" t="s">
        <v>3238</v>
      </c>
    </row>
    <row r="1082" spans="1:11" x14ac:dyDescent="0.2">
      <c r="A1082">
        <v>2.3599989321986101E-10</v>
      </c>
      <c r="B1082">
        <v>-0.58102694280196399</v>
      </c>
      <c r="C1082">
        <v>0.91200000000000003</v>
      </c>
      <c r="D1082">
        <v>0.749</v>
      </c>
      <c r="E1082">
        <v>3.65398634672312E-6</v>
      </c>
      <c r="F1082">
        <v>1</v>
      </c>
      <c r="G1082" t="s">
        <v>3239</v>
      </c>
      <c r="H1082" t="s">
        <v>3240</v>
      </c>
      <c r="I1082" t="s">
        <v>3239</v>
      </c>
      <c r="J1082" s="1" t="str">
        <f>HYPERLINK("https://zfin.org/ZDB-GENE-030131-5128")</f>
        <v>https://zfin.org/ZDB-GENE-030131-5128</v>
      </c>
      <c r="K1082" t="s">
        <v>3241</v>
      </c>
    </row>
    <row r="1083" spans="1:11" x14ac:dyDescent="0.2">
      <c r="A1083">
        <v>2.4028861088479702E-10</v>
      </c>
      <c r="B1083">
        <v>0.29901613033032598</v>
      </c>
      <c r="C1083">
        <v>0.21099999999999999</v>
      </c>
      <c r="D1083">
        <v>5.5E-2</v>
      </c>
      <c r="E1083">
        <v>3.7203885623293198E-6</v>
      </c>
      <c r="F1083">
        <v>1</v>
      </c>
      <c r="G1083" t="s">
        <v>3242</v>
      </c>
      <c r="H1083" t="s">
        <v>3243</v>
      </c>
      <c r="I1083" t="s">
        <v>3242</v>
      </c>
      <c r="J1083" s="1" t="str">
        <f>HYPERLINK("https://zfin.org/ZDB-GENE-030616-5")</f>
        <v>https://zfin.org/ZDB-GENE-030616-5</v>
      </c>
      <c r="K1083" t="s">
        <v>3244</v>
      </c>
    </row>
    <row r="1084" spans="1:11" x14ac:dyDescent="0.2">
      <c r="A1084">
        <v>2.8711203558323602E-10</v>
      </c>
      <c r="B1084">
        <v>-0.89998680044999702</v>
      </c>
      <c r="C1084">
        <v>0.17499999999999999</v>
      </c>
      <c r="D1084">
        <v>0.42399999999999999</v>
      </c>
      <c r="E1084">
        <v>4.4453556469352498E-6</v>
      </c>
      <c r="F1084">
        <v>1</v>
      </c>
      <c r="G1084" t="s">
        <v>3245</v>
      </c>
      <c r="H1084" t="s">
        <v>3246</v>
      </c>
      <c r="I1084" t="s">
        <v>3245</v>
      </c>
      <c r="J1084" s="1" t="str">
        <f>HYPERLINK("https://zfin.org/ZDB-GENE-030131-4489")</f>
        <v>https://zfin.org/ZDB-GENE-030131-4489</v>
      </c>
      <c r="K1084" t="s">
        <v>3247</v>
      </c>
    </row>
    <row r="1085" spans="1:11" x14ac:dyDescent="0.2">
      <c r="A1085">
        <v>2.8967670206312701E-10</v>
      </c>
      <c r="B1085">
        <v>-0.839732086414815</v>
      </c>
      <c r="C1085">
        <v>0.39500000000000002</v>
      </c>
      <c r="D1085">
        <v>0.54900000000000004</v>
      </c>
      <c r="E1085">
        <v>4.4850643780433899E-6</v>
      </c>
      <c r="F1085">
        <v>1</v>
      </c>
      <c r="G1085" t="s">
        <v>3248</v>
      </c>
      <c r="H1085" t="s">
        <v>3249</v>
      </c>
      <c r="I1085" t="s">
        <v>3248</v>
      </c>
      <c r="J1085" s="1" t="str">
        <f>HYPERLINK("https://zfin.org/ZDB-GENE-010413-1")</f>
        <v>https://zfin.org/ZDB-GENE-010413-1</v>
      </c>
      <c r="K1085" t="s">
        <v>3250</v>
      </c>
    </row>
    <row r="1086" spans="1:11" x14ac:dyDescent="0.2">
      <c r="A1086">
        <v>3.2373462850766497E-10</v>
      </c>
      <c r="B1086">
        <v>-0.89604183395721804</v>
      </c>
      <c r="C1086">
        <v>0.29799999999999999</v>
      </c>
      <c r="D1086">
        <v>0.502</v>
      </c>
      <c r="E1086">
        <v>5.0123832531841803E-6</v>
      </c>
      <c r="F1086">
        <v>1</v>
      </c>
      <c r="G1086" t="s">
        <v>3251</v>
      </c>
      <c r="H1086" t="s">
        <v>3252</v>
      </c>
      <c r="I1086" t="s">
        <v>3251</v>
      </c>
      <c r="J1086" s="1" t="str">
        <f>HYPERLINK("https://zfin.org/ZDB-GENE-080829-14")</f>
        <v>https://zfin.org/ZDB-GENE-080829-14</v>
      </c>
      <c r="K1086" t="s">
        <v>3253</v>
      </c>
    </row>
    <row r="1087" spans="1:11" x14ac:dyDescent="0.2">
      <c r="A1087">
        <v>3.2885611287852399E-10</v>
      </c>
      <c r="B1087">
        <v>0.25548211424512501</v>
      </c>
      <c r="C1087">
        <v>0.66700000000000004</v>
      </c>
      <c r="D1087">
        <v>0.308</v>
      </c>
      <c r="E1087">
        <v>5.0916791956981897E-6</v>
      </c>
      <c r="F1087">
        <v>1</v>
      </c>
      <c r="G1087" t="s">
        <v>3254</v>
      </c>
      <c r="H1087" t="s">
        <v>3255</v>
      </c>
      <c r="I1087" t="s">
        <v>3254</v>
      </c>
      <c r="J1087" s="1" t="str">
        <f>HYPERLINK("https://zfin.org/ZDB-GENE-040801-1")</f>
        <v>https://zfin.org/ZDB-GENE-040801-1</v>
      </c>
      <c r="K1087" t="s">
        <v>3256</v>
      </c>
    </row>
    <row r="1088" spans="1:11" x14ac:dyDescent="0.2">
      <c r="A1088">
        <v>3.4265800813979701E-10</v>
      </c>
      <c r="B1088">
        <v>-0.77007093186116404</v>
      </c>
      <c r="C1088">
        <v>0.51800000000000002</v>
      </c>
      <c r="D1088">
        <v>0.63100000000000001</v>
      </c>
      <c r="E1088">
        <v>5.3053739400284798E-6</v>
      </c>
      <c r="F1088">
        <v>1</v>
      </c>
      <c r="G1088" t="s">
        <v>3257</v>
      </c>
      <c r="H1088" t="s">
        <v>3258</v>
      </c>
      <c r="I1088" t="s">
        <v>3257</v>
      </c>
      <c r="J1088" s="1" t="str">
        <f>HYPERLINK("https://zfin.org/ZDB-GENE-030131-8567")</f>
        <v>https://zfin.org/ZDB-GENE-030131-8567</v>
      </c>
      <c r="K1088" t="s">
        <v>3259</v>
      </c>
    </row>
    <row r="1089" spans="1:11" x14ac:dyDescent="0.2">
      <c r="A1089">
        <v>3.8992743664849002E-10</v>
      </c>
      <c r="B1089">
        <v>0.38025490947239099</v>
      </c>
      <c r="C1089">
        <v>0.84199999999999997</v>
      </c>
      <c r="D1089">
        <v>0.51900000000000002</v>
      </c>
      <c r="E1089">
        <v>6.03724650162857E-6</v>
      </c>
      <c r="F1089">
        <v>1</v>
      </c>
      <c r="G1089" t="s">
        <v>3260</v>
      </c>
      <c r="H1089" t="s">
        <v>3261</v>
      </c>
      <c r="I1089" t="s">
        <v>3260</v>
      </c>
      <c r="J1089" s="1" t="str">
        <f>HYPERLINK("https://zfin.org/ZDB-GENE-030131-5215")</f>
        <v>https://zfin.org/ZDB-GENE-030131-5215</v>
      </c>
      <c r="K1089" t="s">
        <v>3262</v>
      </c>
    </row>
    <row r="1090" spans="1:11" x14ac:dyDescent="0.2">
      <c r="A1090">
        <v>4.1533902641907599E-10</v>
      </c>
      <c r="B1090">
        <v>-0.86706513499466598</v>
      </c>
      <c r="C1090">
        <v>0.105</v>
      </c>
      <c r="D1090">
        <v>0.372</v>
      </c>
      <c r="E1090">
        <v>6.4306941460465502E-6</v>
      </c>
      <c r="F1090">
        <v>1</v>
      </c>
      <c r="G1090" t="s">
        <v>3263</v>
      </c>
      <c r="H1090" t="s">
        <v>3264</v>
      </c>
      <c r="I1090" t="s">
        <v>3263</v>
      </c>
      <c r="J1090" s="1" t="str">
        <f>HYPERLINK("https://zfin.org/ZDB-GENE-050417-174")</f>
        <v>https://zfin.org/ZDB-GENE-050417-174</v>
      </c>
      <c r="K1090" t="s">
        <v>3265</v>
      </c>
    </row>
    <row r="1091" spans="1:11" x14ac:dyDescent="0.2">
      <c r="A1091">
        <v>4.2255099165880501E-10</v>
      </c>
      <c r="B1091">
        <v>-0.83633733391697995</v>
      </c>
      <c r="C1091">
        <v>0.123</v>
      </c>
      <c r="D1091">
        <v>0.38100000000000001</v>
      </c>
      <c r="E1091">
        <v>6.54235700385328E-6</v>
      </c>
      <c r="F1091">
        <v>1</v>
      </c>
      <c r="G1091" t="s">
        <v>3266</v>
      </c>
      <c r="H1091" t="s">
        <v>3267</v>
      </c>
      <c r="I1091" t="s">
        <v>3266</v>
      </c>
      <c r="J1091" s="1" t="str">
        <f>HYPERLINK("https://zfin.org/ZDB-GENE-030826-16")</f>
        <v>https://zfin.org/ZDB-GENE-030826-16</v>
      </c>
      <c r="K1091" t="s">
        <v>3268</v>
      </c>
    </row>
    <row r="1092" spans="1:11" x14ac:dyDescent="0.2">
      <c r="A1092">
        <v>4.2923143367101002E-10</v>
      </c>
      <c r="B1092">
        <v>-0.60743544202435995</v>
      </c>
      <c r="C1092">
        <v>0.83299999999999996</v>
      </c>
      <c r="D1092">
        <v>0.78900000000000003</v>
      </c>
      <c r="E1092">
        <v>6.6457902875282504E-6</v>
      </c>
      <c r="F1092">
        <v>1</v>
      </c>
      <c r="G1092" t="s">
        <v>3269</v>
      </c>
      <c r="H1092" t="s">
        <v>3270</v>
      </c>
      <c r="I1092" t="s">
        <v>3269</v>
      </c>
      <c r="J1092" s="1" t="str">
        <f>HYPERLINK("https://zfin.org/ZDB-GENE-000210-25")</f>
        <v>https://zfin.org/ZDB-GENE-000210-25</v>
      </c>
      <c r="K1092" t="s">
        <v>3271</v>
      </c>
    </row>
    <row r="1093" spans="1:11" x14ac:dyDescent="0.2">
      <c r="A1093">
        <v>4.4442292585001401E-10</v>
      </c>
      <c r="B1093">
        <v>0.322026610668735</v>
      </c>
      <c r="C1093">
        <v>0.99099999999999999</v>
      </c>
      <c r="D1093">
        <v>0.86599999999999999</v>
      </c>
      <c r="E1093">
        <v>6.8810001609357702E-6</v>
      </c>
      <c r="F1093">
        <v>1</v>
      </c>
      <c r="G1093" t="s">
        <v>3272</v>
      </c>
      <c r="H1093" t="s">
        <v>3273</v>
      </c>
      <c r="I1093" t="s">
        <v>3272</v>
      </c>
      <c r="J1093" s="1" t="str">
        <f>HYPERLINK("https://zfin.org/ZDB-GENE-000329-3")</f>
        <v>https://zfin.org/ZDB-GENE-000329-3</v>
      </c>
      <c r="K1093" t="s">
        <v>3274</v>
      </c>
    </row>
    <row r="1094" spans="1:11" x14ac:dyDescent="0.2">
      <c r="A1094">
        <v>4.4543419754931502E-10</v>
      </c>
      <c r="B1094">
        <v>-0.58012217944672495</v>
      </c>
      <c r="C1094">
        <v>0.83299999999999996</v>
      </c>
      <c r="D1094">
        <v>0.76200000000000001</v>
      </c>
      <c r="E1094">
        <v>6.8966576806560399E-6</v>
      </c>
      <c r="F1094">
        <v>1</v>
      </c>
      <c r="G1094" t="s">
        <v>3275</v>
      </c>
      <c r="H1094" t="s">
        <v>3276</v>
      </c>
      <c r="I1094" t="s">
        <v>3275</v>
      </c>
      <c r="J1094" s="1" t="str">
        <f>HYPERLINK("https://zfin.org/ZDB-GENE-040426-1735")</f>
        <v>https://zfin.org/ZDB-GENE-040426-1735</v>
      </c>
      <c r="K1094" t="s">
        <v>3277</v>
      </c>
    </row>
    <row r="1095" spans="1:11" x14ac:dyDescent="0.2">
      <c r="A1095">
        <v>4.5654692485728001E-10</v>
      </c>
      <c r="B1095">
        <v>-0.86926347794373504</v>
      </c>
      <c r="C1095">
        <v>0.123</v>
      </c>
      <c r="D1095">
        <v>0.38900000000000001</v>
      </c>
      <c r="E1095">
        <v>7.0687160375652702E-6</v>
      </c>
      <c r="F1095">
        <v>1</v>
      </c>
      <c r="G1095" t="s">
        <v>3278</v>
      </c>
      <c r="H1095" t="s">
        <v>3279</v>
      </c>
      <c r="I1095" t="s">
        <v>3278</v>
      </c>
      <c r="J1095" s="1" t="str">
        <f>HYPERLINK("https://zfin.org/ZDB-GENE-040426-2417")</f>
        <v>https://zfin.org/ZDB-GENE-040426-2417</v>
      </c>
      <c r="K1095" t="s">
        <v>3280</v>
      </c>
    </row>
    <row r="1096" spans="1:11" x14ac:dyDescent="0.2">
      <c r="A1096">
        <v>4.62452636213947E-10</v>
      </c>
      <c r="B1096">
        <v>-0.88378894243027895</v>
      </c>
      <c r="C1096">
        <v>6.0999999999999999E-2</v>
      </c>
      <c r="D1096">
        <v>0.33600000000000002</v>
      </c>
      <c r="E1096">
        <v>7.1601541665005402E-6</v>
      </c>
      <c r="F1096">
        <v>1</v>
      </c>
      <c r="G1096" t="s">
        <v>3281</v>
      </c>
      <c r="H1096" t="s">
        <v>3282</v>
      </c>
      <c r="I1096" t="s">
        <v>3281</v>
      </c>
      <c r="J1096" s="1" t="str">
        <f>HYPERLINK("https://zfin.org/ZDB-GENE-050417-307")</f>
        <v>https://zfin.org/ZDB-GENE-050417-307</v>
      </c>
      <c r="K1096" t="s">
        <v>3283</v>
      </c>
    </row>
    <row r="1097" spans="1:11" x14ac:dyDescent="0.2">
      <c r="A1097">
        <v>4.7917135926430502E-10</v>
      </c>
      <c r="B1097">
        <v>-0.84510519352152502</v>
      </c>
      <c r="C1097">
        <v>0.114</v>
      </c>
      <c r="D1097">
        <v>0.38100000000000001</v>
      </c>
      <c r="E1097">
        <v>7.4190101554892303E-6</v>
      </c>
      <c r="F1097">
        <v>1</v>
      </c>
      <c r="G1097" t="s">
        <v>3284</v>
      </c>
      <c r="H1097" t="s">
        <v>3285</v>
      </c>
      <c r="I1097" t="s">
        <v>3284</v>
      </c>
      <c r="J1097" s="1" t="str">
        <f>HYPERLINK("https://zfin.org/ZDB-GENE-030131-9210")</f>
        <v>https://zfin.org/ZDB-GENE-030131-9210</v>
      </c>
      <c r="K1097" t="s">
        <v>3286</v>
      </c>
    </row>
    <row r="1098" spans="1:11" x14ac:dyDescent="0.2">
      <c r="A1098">
        <v>5.8846593555672701E-10</v>
      </c>
      <c r="B1098">
        <v>-1.92780468994573</v>
      </c>
      <c r="C1098">
        <v>0.439</v>
      </c>
      <c r="D1098">
        <v>0.54900000000000004</v>
      </c>
      <c r="E1098">
        <v>9.1112180802248005E-6</v>
      </c>
      <c r="F1098">
        <v>1</v>
      </c>
      <c r="G1098" t="s">
        <v>3287</v>
      </c>
      <c r="H1098" t="s">
        <v>3288</v>
      </c>
      <c r="I1098" t="s">
        <v>3287</v>
      </c>
      <c r="J1098" s="1" t="str">
        <f>HYPERLINK("https://zfin.org/ZDB-GENE-061103-301")</f>
        <v>https://zfin.org/ZDB-GENE-061103-301</v>
      </c>
      <c r="K1098" t="s">
        <v>3289</v>
      </c>
    </row>
    <row r="1099" spans="1:11" x14ac:dyDescent="0.2">
      <c r="A1099">
        <v>6.1018575006277404E-10</v>
      </c>
      <c r="B1099">
        <v>-0.99427110229606097</v>
      </c>
      <c r="C1099">
        <v>0.158</v>
      </c>
      <c r="D1099">
        <v>0.40799999999999997</v>
      </c>
      <c r="E1099">
        <v>9.4475059682219195E-6</v>
      </c>
      <c r="F1099">
        <v>1</v>
      </c>
      <c r="G1099" t="s">
        <v>3290</v>
      </c>
      <c r="H1099" t="s">
        <v>3291</v>
      </c>
      <c r="I1099" t="s">
        <v>3290</v>
      </c>
      <c r="J1099" s="1" t="str">
        <f>HYPERLINK("https://zfin.org/ZDB-GENE-030131-6757")</f>
        <v>https://zfin.org/ZDB-GENE-030131-6757</v>
      </c>
      <c r="K1099" t="s">
        <v>3292</v>
      </c>
    </row>
    <row r="1100" spans="1:11" x14ac:dyDescent="0.2">
      <c r="A1100">
        <v>6.6425825357978995E-10</v>
      </c>
      <c r="B1100">
        <v>0.272455470834369</v>
      </c>
      <c r="C1100">
        <v>0.70199999999999996</v>
      </c>
      <c r="D1100">
        <v>0.33700000000000002</v>
      </c>
      <c r="E1100">
        <v>1.02847105401759E-5</v>
      </c>
      <c r="F1100">
        <v>1</v>
      </c>
      <c r="G1100" t="s">
        <v>3293</v>
      </c>
      <c r="H1100" t="s">
        <v>3294</v>
      </c>
      <c r="I1100" t="s">
        <v>3293</v>
      </c>
      <c r="J1100" s="1" t="str">
        <f>HYPERLINK("https://zfin.org/ZDB-GENE-050522-542")</f>
        <v>https://zfin.org/ZDB-GENE-050522-542</v>
      </c>
      <c r="K1100" t="s">
        <v>3295</v>
      </c>
    </row>
    <row r="1101" spans="1:11" x14ac:dyDescent="0.2">
      <c r="A1101">
        <v>6.9897640247711103E-10</v>
      </c>
      <c r="B1101">
        <v>-0.98362312619686398</v>
      </c>
      <c r="C1101">
        <v>0.14000000000000001</v>
      </c>
      <c r="D1101">
        <v>0.39200000000000002</v>
      </c>
      <c r="E1101">
        <v>1.08222516395531E-5</v>
      </c>
      <c r="F1101">
        <v>1</v>
      </c>
      <c r="G1101" t="s">
        <v>3296</v>
      </c>
      <c r="H1101" t="s">
        <v>3297</v>
      </c>
      <c r="I1101" t="s">
        <v>3296</v>
      </c>
      <c r="J1101" s="1" t="str">
        <f>HYPERLINK("https://zfin.org/ZDB-GENE-031116-61")</f>
        <v>https://zfin.org/ZDB-GENE-031116-61</v>
      </c>
      <c r="K1101" t="s">
        <v>3298</v>
      </c>
    </row>
    <row r="1102" spans="1:11" x14ac:dyDescent="0.2">
      <c r="A1102">
        <v>7.1101307692827801E-10</v>
      </c>
      <c r="B1102">
        <v>-1.40778514276405</v>
      </c>
      <c r="C1102">
        <v>0.246</v>
      </c>
      <c r="D1102">
        <v>0.46300000000000002</v>
      </c>
      <c r="E1102">
        <v>1.10086154700805E-5</v>
      </c>
      <c r="F1102">
        <v>1</v>
      </c>
      <c r="G1102" t="s">
        <v>3299</v>
      </c>
      <c r="H1102" t="s">
        <v>3300</v>
      </c>
      <c r="I1102" t="s">
        <v>3299</v>
      </c>
      <c r="J1102" s="1" t="str">
        <f>HYPERLINK("https://zfin.org/ZDB-GENE-011212-6")</f>
        <v>https://zfin.org/ZDB-GENE-011212-6</v>
      </c>
      <c r="K1102" t="s">
        <v>3301</v>
      </c>
    </row>
    <row r="1103" spans="1:11" x14ac:dyDescent="0.2">
      <c r="A1103">
        <v>7.4773426405676898E-10</v>
      </c>
      <c r="B1103">
        <v>0.268253757508776</v>
      </c>
      <c r="C1103">
        <v>0.92100000000000004</v>
      </c>
      <c r="D1103">
        <v>0.48</v>
      </c>
      <c r="E1103">
        <v>1.1577169610391E-5</v>
      </c>
      <c r="F1103">
        <v>1</v>
      </c>
      <c r="G1103" t="s">
        <v>3302</v>
      </c>
      <c r="H1103" t="s">
        <v>3303</v>
      </c>
      <c r="I1103" t="s">
        <v>3302</v>
      </c>
      <c r="J1103" s="1" t="str">
        <f>HYPERLINK("https://zfin.org/ZDB-GENE-050522-151")</f>
        <v>https://zfin.org/ZDB-GENE-050522-151</v>
      </c>
      <c r="K1103" t="s">
        <v>3304</v>
      </c>
    </row>
    <row r="1104" spans="1:11" x14ac:dyDescent="0.2">
      <c r="A1104">
        <v>7.6964385056653096E-10</v>
      </c>
      <c r="B1104">
        <v>0.27784085164468603</v>
      </c>
      <c r="C1104">
        <v>0.877</v>
      </c>
      <c r="D1104">
        <v>0.46500000000000002</v>
      </c>
      <c r="E1104">
        <v>1.1916395738321599E-5</v>
      </c>
      <c r="F1104">
        <v>1</v>
      </c>
      <c r="G1104" t="s">
        <v>3305</v>
      </c>
      <c r="H1104" t="s">
        <v>3306</v>
      </c>
      <c r="I1104" t="s">
        <v>3305</v>
      </c>
      <c r="J1104" s="1" t="str">
        <f>HYPERLINK("https://zfin.org/ZDB-GENE-030131-9796")</f>
        <v>https://zfin.org/ZDB-GENE-030131-9796</v>
      </c>
      <c r="K1104" t="s">
        <v>3307</v>
      </c>
    </row>
    <row r="1105" spans="1:11" x14ac:dyDescent="0.2">
      <c r="A1105">
        <v>8.0697757967133903E-10</v>
      </c>
      <c r="B1105">
        <v>-0.795172584590911</v>
      </c>
      <c r="C1105">
        <v>5.2999999999999999E-2</v>
      </c>
      <c r="D1105">
        <v>0.316</v>
      </c>
      <c r="E1105">
        <v>1.2494433866051301E-5</v>
      </c>
      <c r="F1105">
        <v>1</v>
      </c>
      <c r="G1105" t="s">
        <v>3308</v>
      </c>
      <c r="H1105" t="s">
        <v>3309</v>
      </c>
      <c r="I1105" t="s">
        <v>3308</v>
      </c>
      <c r="J1105" s="1" t="str">
        <f>HYPERLINK("https://zfin.org/ZDB-GENE-030219-181")</f>
        <v>https://zfin.org/ZDB-GENE-030219-181</v>
      </c>
      <c r="K1105" t="s">
        <v>3310</v>
      </c>
    </row>
    <row r="1106" spans="1:11" x14ac:dyDescent="0.2">
      <c r="A1106">
        <v>8.6208469893757701E-10</v>
      </c>
      <c r="B1106">
        <v>0.32736520640031302</v>
      </c>
      <c r="C1106">
        <v>0.89500000000000002</v>
      </c>
      <c r="D1106">
        <v>0.52500000000000002</v>
      </c>
      <c r="E1106">
        <v>1.33476573936505E-5</v>
      </c>
      <c r="F1106">
        <v>1</v>
      </c>
      <c r="G1106" t="s">
        <v>3311</v>
      </c>
      <c r="H1106" t="s">
        <v>3312</v>
      </c>
      <c r="I1106" t="s">
        <v>3311</v>
      </c>
      <c r="J1106" s="1" t="str">
        <f>HYPERLINK("https://zfin.org/ZDB-GENE-041010-33")</f>
        <v>https://zfin.org/ZDB-GENE-041010-33</v>
      </c>
      <c r="K1106" t="s">
        <v>3313</v>
      </c>
    </row>
    <row r="1107" spans="1:11" x14ac:dyDescent="0.2">
      <c r="A1107">
        <v>8.7020291784483503E-10</v>
      </c>
      <c r="B1107">
        <v>0.263610906017546</v>
      </c>
      <c r="C1107">
        <v>0.79800000000000004</v>
      </c>
      <c r="D1107">
        <v>0.39200000000000002</v>
      </c>
      <c r="E1107">
        <v>1.3473351776991599E-5</v>
      </c>
      <c r="F1107">
        <v>1</v>
      </c>
      <c r="G1107" t="s">
        <v>3314</v>
      </c>
      <c r="H1107" t="s">
        <v>3315</v>
      </c>
      <c r="I1107" t="s">
        <v>3314</v>
      </c>
      <c r="J1107" s="1" t="str">
        <f>HYPERLINK("https://zfin.org/ZDB-GENE-050522-174")</f>
        <v>https://zfin.org/ZDB-GENE-050522-174</v>
      </c>
      <c r="K1107" t="s">
        <v>3316</v>
      </c>
    </row>
    <row r="1108" spans="1:11" x14ac:dyDescent="0.2">
      <c r="A1108">
        <v>9.0294136709460501E-10</v>
      </c>
      <c r="B1108">
        <v>0.26160661000977498</v>
      </c>
      <c r="C1108">
        <v>0.70199999999999996</v>
      </c>
      <c r="D1108">
        <v>0.313</v>
      </c>
      <c r="E1108">
        <v>1.39802411867258E-5</v>
      </c>
      <c r="F1108">
        <v>1</v>
      </c>
      <c r="G1108" t="s">
        <v>3317</v>
      </c>
      <c r="H1108" t="s">
        <v>3318</v>
      </c>
      <c r="I1108" t="s">
        <v>3317</v>
      </c>
      <c r="J1108" s="1" t="str">
        <f>HYPERLINK("https://zfin.org/ZDB-GENE-040426-2884")</f>
        <v>https://zfin.org/ZDB-GENE-040426-2884</v>
      </c>
      <c r="K1108" t="s">
        <v>3319</v>
      </c>
    </row>
    <row r="1109" spans="1:11" x14ac:dyDescent="0.2">
      <c r="A1109">
        <v>9.2024532982704603E-10</v>
      </c>
      <c r="B1109">
        <v>-0.50555544131670005</v>
      </c>
      <c r="C1109">
        <v>0.99099999999999999</v>
      </c>
      <c r="D1109">
        <v>0.96</v>
      </c>
      <c r="E1109">
        <v>1.42481584417122E-5</v>
      </c>
      <c r="F1109">
        <v>1</v>
      </c>
      <c r="G1109" t="s">
        <v>3320</v>
      </c>
      <c r="H1109" t="s">
        <v>3321</v>
      </c>
      <c r="I1109" t="s">
        <v>3320</v>
      </c>
      <c r="J1109" s="1" t="str">
        <f>HYPERLINK("https://zfin.org/ZDB-GENE-030131-8681")</f>
        <v>https://zfin.org/ZDB-GENE-030131-8681</v>
      </c>
      <c r="K1109" t="s">
        <v>3322</v>
      </c>
    </row>
    <row r="1110" spans="1:11" x14ac:dyDescent="0.2">
      <c r="A1110">
        <v>9.2042134678362195E-10</v>
      </c>
      <c r="B1110">
        <v>-0.90466909576071397</v>
      </c>
      <c r="C1110">
        <v>0.17499999999999999</v>
      </c>
      <c r="D1110">
        <v>0.41199999999999998</v>
      </c>
      <c r="E1110">
        <v>1.4250883712250799E-5</v>
      </c>
      <c r="F1110">
        <v>1</v>
      </c>
      <c r="G1110" t="s">
        <v>3323</v>
      </c>
      <c r="H1110" t="s">
        <v>3324</v>
      </c>
      <c r="I1110" t="s">
        <v>3323</v>
      </c>
      <c r="J1110" s="1" t="str">
        <f>HYPERLINK("https://zfin.org/ZDB-GENE-061103-391")</f>
        <v>https://zfin.org/ZDB-GENE-061103-391</v>
      </c>
      <c r="K1110" t="s">
        <v>3325</v>
      </c>
    </row>
    <row r="1111" spans="1:11" x14ac:dyDescent="0.2">
      <c r="A1111">
        <v>9.4264889090652798E-10</v>
      </c>
      <c r="B1111">
        <v>-1.47633832223626</v>
      </c>
      <c r="C1111">
        <v>0.26300000000000001</v>
      </c>
      <c r="D1111">
        <v>0.46800000000000003</v>
      </c>
      <c r="E1111">
        <v>1.45950327779058E-5</v>
      </c>
      <c r="F1111">
        <v>1</v>
      </c>
      <c r="G1111" t="s">
        <v>3326</v>
      </c>
      <c r="H1111" t="s">
        <v>3327</v>
      </c>
      <c r="I1111" t="s">
        <v>3326</v>
      </c>
      <c r="J1111" s="1" t="str">
        <f>HYPERLINK("https://zfin.org/ZDB-GENE-080829-12")</f>
        <v>https://zfin.org/ZDB-GENE-080829-12</v>
      </c>
      <c r="K1111" t="s">
        <v>3328</v>
      </c>
    </row>
    <row r="1112" spans="1:11" x14ac:dyDescent="0.2">
      <c r="A1112">
        <v>1.0356296637125901E-9</v>
      </c>
      <c r="B1112">
        <v>-0.86629285422470304</v>
      </c>
      <c r="C1112">
        <v>0.105</v>
      </c>
      <c r="D1112">
        <v>0.36199999999999999</v>
      </c>
      <c r="E1112">
        <v>1.6034654083261999E-5</v>
      </c>
      <c r="F1112">
        <v>1</v>
      </c>
      <c r="G1112" t="s">
        <v>3329</v>
      </c>
      <c r="H1112" t="s">
        <v>3330</v>
      </c>
      <c r="I1112" t="s">
        <v>3329</v>
      </c>
      <c r="J1112" s="1" t="str">
        <f>HYPERLINK("https://zfin.org/ZDB-GENE-040426-1413")</f>
        <v>https://zfin.org/ZDB-GENE-040426-1413</v>
      </c>
      <c r="K1112" t="s">
        <v>3331</v>
      </c>
    </row>
    <row r="1113" spans="1:11" x14ac:dyDescent="0.2">
      <c r="A1113">
        <v>1.0954228114065901E-9</v>
      </c>
      <c r="B1113">
        <v>-0.97983933727512795</v>
      </c>
      <c r="C1113">
        <v>8.7999999999999995E-2</v>
      </c>
      <c r="D1113">
        <v>0.34499999999999997</v>
      </c>
      <c r="E1113">
        <v>1.69604313890083E-5</v>
      </c>
      <c r="F1113">
        <v>1</v>
      </c>
      <c r="G1113" t="s">
        <v>3332</v>
      </c>
      <c r="H1113" t="s">
        <v>3333</v>
      </c>
      <c r="I1113" t="s">
        <v>3332</v>
      </c>
      <c r="J1113" s="1" t="str">
        <f>HYPERLINK("https://zfin.org/ZDB-GENE-040426-2517")</f>
        <v>https://zfin.org/ZDB-GENE-040426-2517</v>
      </c>
      <c r="K1113" t="s">
        <v>3334</v>
      </c>
    </row>
    <row r="1114" spans="1:11" x14ac:dyDescent="0.2">
      <c r="A1114">
        <v>1.10884270294692E-9</v>
      </c>
      <c r="B1114">
        <v>0.26122723167155798</v>
      </c>
      <c r="C1114">
        <v>0.69299999999999995</v>
      </c>
      <c r="D1114">
        <v>0.33100000000000002</v>
      </c>
      <c r="E1114">
        <v>1.7168211569727201E-5</v>
      </c>
      <c r="F1114">
        <v>1</v>
      </c>
      <c r="G1114" t="s">
        <v>3335</v>
      </c>
      <c r="H1114" t="s">
        <v>3336</v>
      </c>
      <c r="I1114" t="s">
        <v>3335</v>
      </c>
      <c r="J1114" s="1" t="str">
        <f>HYPERLINK("https://zfin.org/ZDB-GENE-141222-98")</f>
        <v>https://zfin.org/ZDB-GENE-141222-98</v>
      </c>
      <c r="K1114" t="s">
        <v>3337</v>
      </c>
    </row>
    <row r="1115" spans="1:11" x14ac:dyDescent="0.2">
      <c r="A1115">
        <v>1.1138660566105799E-9</v>
      </c>
      <c r="B1115">
        <v>0.328227133284821</v>
      </c>
      <c r="C1115">
        <v>0.96499999999999997</v>
      </c>
      <c r="D1115">
        <v>0.67600000000000005</v>
      </c>
      <c r="E1115">
        <v>1.7245988154501599E-5</v>
      </c>
      <c r="F1115">
        <v>1</v>
      </c>
      <c r="G1115" t="s">
        <v>3338</v>
      </c>
      <c r="H1115" t="s">
        <v>3339</v>
      </c>
      <c r="I1115" t="s">
        <v>3338</v>
      </c>
      <c r="J1115" s="1" t="str">
        <f>HYPERLINK("https://zfin.org/ZDB-GENE-101102-9")</f>
        <v>https://zfin.org/ZDB-GENE-101102-9</v>
      </c>
      <c r="K1115" t="s">
        <v>3340</v>
      </c>
    </row>
    <row r="1116" spans="1:11" x14ac:dyDescent="0.2">
      <c r="A1116">
        <v>1.31493529915949E-9</v>
      </c>
      <c r="B1116">
        <v>0.30743390957813099</v>
      </c>
      <c r="C1116">
        <v>0.88600000000000001</v>
      </c>
      <c r="D1116">
        <v>0.505</v>
      </c>
      <c r="E1116">
        <v>2.0359143236886402E-5</v>
      </c>
      <c r="F1116">
        <v>1</v>
      </c>
      <c r="G1116" t="s">
        <v>3341</v>
      </c>
      <c r="H1116" t="s">
        <v>3342</v>
      </c>
      <c r="I1116" t="s">
        <v>3341</v>
      </c>
      <c r="J1116" s="1" t="str">
        <f>HYPERLINK("https://zfin.org/ZDB-GENE-050506-113")</f>
        <v>https://zfin.org/ZDB-GENE-050506-113</v>
      </c>
      <c r="K1116" t="s">
        <v>3343</v>
      </c>
    </row>
    <row r="1117" spans="1:11" x14ac:dyDescent="0.2">
      <c r="A1117">
        <v>1.4493490623261501E-9</v>
      </c>
      <c r="B1117">
        <v>0.27228240876315901</v>
      </c>
      <c r="C1117">
        <v>0.754</v>
      </c>
      <c r="D1117">
        <v>0.36799999999999999</v>
      </c>
      <c r="E1117">
        <v>2.2440271531995898E-5</v>
      </c>
      <c r="F1117">
        <v>1</v>
      </c>
      <c r="G1117" t="s">
        <v>3344</v>
      </c>
      <c r="H1117" t="s">
        <v>3345</v>
      </c>
      <c r="I1117" t="s">
        <v>3344</v>
      </c>
      <c r="J1117" s="1" t="str">
        <f>HYPERLINK("https://zfin.org/ZDB-GENE-040426-2232")</f>
        <v>https://zfin.org/ZDB-GENE-040426-2232</v>
      </c>
      <c r="K1117" t="s">
        <v>3346</v>
      </c>
    </row>
    <row r="1118" spans="1:11" x14ac:dyDescent="0.2">
      <c r="A1118">
        <v>1.46117429303711E-9</v>
      </c>
      <c r="B1118">
        <v>-1.0296059900313399</v>
      </c>
      <c r="C1118">
        <v>0.193</v>
      </c>
      <c r="D1118">
        <v>0.42199999999999999</v>
      </c>
      <c r="E1118">
        <v>2.2623361579093601E-5</v>
      </c>
      <c r="F1118">
        <v>1</v>
      </c>
      <c r="G1118" t="s">
        <v>3347</v>
      </c>
      <c r="H1118" t="s">
        <v>3348</v>
      </c>
      <c r="I1118" t="s">
        <v>3347</v>
      </c>
      <c r="J1118" s="1" t="str">
        <f>HYPERLINK("https://zfin.org/ZDB-GENE-030911-2")</f>
        <v>https://zfin.org/ZDB-GENE-030911-2</v>
      </c>
      <c r="K1118" t="s">
        <v>3349</v>
      </c>
    </row>
    <row r="1119" spans="1:11" x14ac:dyDescent="0.2">
      <c r="A1119">
        <v>1.46417532790306E-9</v>
      </c>
      <c r="B1119">
        <v>-1.2066967191250499</v>
      </c>
      <c r="C1119">
        <v>0.316</v>
      </c>
      <c r="D1119">
        <v>0.48899999999999999</v>
      </c>
      <c r="E1119">
        <v>2.2669826601923099E-5</v>
      </c>
      <c r="F1119">
        <v>1</v>
      </c>
      <c r="G1119" t="s">
        <v>3350</v>
      </c>
      <c r="H1119" t="s">
        <v>3351</v>
      </c>
      <c r="I1119" t="s">
        <v>3350</v>
      </c>
      <c r="J1119" s="1" t="str">
        <f>HYPERLINK("https://zfin.org/ZDB-GENE-030131-6366")</f>
        <v>https://zfin.org/ZDB-GENE-030131-6366</v>
      </c>
      <c r="K1119" t="s">
        <v>3352</v>
      </c>
    </row>
    <row r="1120" spans="1:11" x14ac:dyDescent="0.2">
      <c r="A1120">
        <v>1.5559600441402901E-9</v>
      </c>
      <c r="B1120">
        <v>-1.0950812399777601</v>
      </c>
      <c r="C1120">
        <v>0.158</v>
      </c>
      <c r="D1120">
        <v>0.39500000000000002</v>
      </c>
      <c r="E1120">
        <v>2.4090929363424202E-5</v>
      </c>
      <c r="F1120">
        <v>1</v>
      </c>
      <c r="G1120" t="s">
        <v>3353</v>
      </c>
      <c r="H1120" t="s">
        <v>3354</v>
      </c>
      <c r="I1120" t="s">
        <v>3353</v>
      </c>
      <c r="J1120" s="1" t="str">
        <f>HYPERLINK("https://zfin.org/ZDB-GENE-980526-416")</f>
        <v>https://zfin.org/ZDB-GENE-980526-416</v>
      </c>
      <c r="K1120" t="s">
        <v>3355</v>
      </c>
    </row>
    <row r="1121" spans="1:11" x14ac:dyDescent="0.2">
      <c r="A1121">
        <v>1.6805282098072899E-9</v>
      </c>
      <c r="B1121">
        <v>-0.87468981497155196</v>
      </c>
      <c r="C1121">
        <v>0.307</v>
      </c>
      <c r="D1121">
        <v>0.52200000000000002</v>
      </c>
      <c r="E1121">
        <v>2.6019618272446301E-5</v>
      </c>
      <c r="F1121">
        <v>1</v>
      </c>
      <c r="G1121" t="s">
        <v>3356</v>
      </c>
      <c r="H1121" t="s">
        <v>3357</v>
      </c>
      <c r="I1121" t="s">
        <v>3356</v>
      </c>
      <c r="J1121" s="1" t="str">
        <f>HYPERLINK("https://zfin.org/ZDB-GENE-030131-7103")</f>
        <v>https://zfin.org/ZDB-GENE-030131-7103</v>
      </c>
      <c r="K1121" t="s">
        <v>3358</v>
      </c>
    </row>
    <row r="1122" spans="1:11" x14ac:dyDescent="0.2">
      <c r="A1122">
        <v>1.68513401890571E-9</v>
      </c>
      <c r="B1122">
        <v>-0.69467828120241404</v>
      </c>
      <c r="C1122">
        <v>1.7999999999999999E-2</v>
      </c>
      <c r="D1122">
        <v>0.27100000000000002</v>
      </c>
      <c r="E1122">
        <v>2.6090930014717099E-5</v>
      </c>
      <c r="F1122">
        <v>1</v>
      </c>
      <c r="G1122" t="s">
        <v>3359</v>
      </c>
      <c r="H1122" t="s">
        <v>3360</v>
      </c>
      <c r="I1122" t="s">
        <v>3359</v>
      </c>
      <c r="J1122" s="1" t="str">
        <f>HYPERLINK("https://zfin.org/ZDB-GENE-030131-3435")</f>
        <v>https://zfin.org/ZDB-GENE-030131-3435</v>
      </c>
      <c r="K1122" t="s">
        <v>3361</v>
      </c>
    </row>
    <row r="1123" spans="1:11" x14ac:dyDescent="0.2">
      <c r="A1123">
        <v>1.8413536482903299E-9</v>
      </c>
      <c r="B1123">
        <v>-0.80845145474363</v>
      </c>
      <c r="C1123">
        <v>9.6000000000000002E-2</v>
      </c>
      <c r="D1123">
        <v>0.35299999999999998</v>
      </c>
      <c r="E1123">
        <v>2.85096785364793E-5</v>
      </c>
      <c r="F1123">
        <v>1</v>
      </c>
      <c r="G1123" t="s">
        <v>3362</v>
      </c>
      <c r="H1123" t="s">
        <v>3363</v>
      </c>
      <c r="I1123" t="s">
        <v>3362</v>
      </c>
      <c r="J1123" s="1" t="str">
        <f>HYPERLINK("https://zfin.org/ZDB-GENE-030131-3121")</f>
        <v>https://zfin.org/ZDB-GENE-030131-3121</v>
      </c>
      <c r="K1123" t="s">
        <v>3364</v>
      </c>
    </row>
    <row r="1124" spans="1:11" x14ac:dyDescent="0.2">
      <c r="A1124">
        <v>2.4194929250711702E-9</v>
      </c>
      <c r="B1124">
        <v>-0.92932763155861697</v>
      </c>
      <c r="C1124">
        <v>0.78100000000000003</v>
      </c>
      <c r="D1124">
        <v>0.72199999999999998</v>
      </c>
      <c r="E1124">
        <v>3.7461008958877002E-5</v>
      </c>
      <c r="F1124">
        <v>1</v>
      </c>
      <c r="G1124" t="s">
        <v>3365</v>
      </c>
      <c r="H1124" t="s">
        <v>3366</v>
      </c>
      <c r="I1124" t="s">
        <v>3365</v>
      </c>
      <c r="J1124" s="1" t="str">
        <f>HYPERLINK("https://zfin.org/ZDB-GENE-030411-5")</f>
        <v>https://zfin.org/ZDB-GENE-030411-5</v>
      </c>
      <c r="K1124" t="s">
        <v>3367</v>
      </c>
    </row>
    <row r="1125" spans="1:11" x14ac:dyDescent="0.2">
      <c r="A1125">
        <v>2.5897876399893102E-9</v>
      </c>
      <c r="B1125">
        <v>-1.0470928691497099</v>
      </c>
      <c r="C1125">
        <v>0.184</v>
      </c>
      <c r="D1125">
        <v>0.41399999999999998</v>
      </c>
      <c r="E1125">
        <v>4.0097682029954498E-5</v>
      </c>
      <c r="F1125">
        <v>1</v>
      </c>
      <c r="G1125" t="s">
        <v>3368</v>
      </c>
      <c r="H1125" t="s">
        <v>3369</v>
      </c>
      <c r="I1125" t="s">
        <v>3368</v>
      </c>
      <c r="J1125" s="1" t="str">
        <f>HYPERLINK("https://zfin.org/ZDB-GENE-040426-1877")</f>
        <v>https://zfin.org/ZDB-GENE-040426-1877</v>
      </c>
      <c r="K1125" t="s">
        <v>3370</v>
      </c>
    </row>
    <row r="1126" spans="1:11" x14ac:dyDescent="0.2">
      <c r="A1126">
        <v>3.1004512758754701E-9</v>
      </c>
      <c r="B1126">
        <v>0.282216939538462</v>
      </c>
      <c r="C1126">
        <v>0.92100000000000004</v>
      </c>
      <c r="D1126">
        <v>0.50800000000000001</v>
      </c>
      <c r="E1126">
        <v>4.8004287104379797E-5</v>
      </c>
      <c r="F1126">
        <v>1</v>
      </c>
      <c r="G1126" t="s">
        <v>3371</v>
      </c>
      <c r="H1126" t="s">
        <v>3372</v>
      </c>
      <c r="I1126" t="s">
        <v>3371</v>
      </c>
      <c r="J1126" s="1" t="str">
        <f>HYPERLINK("https://zfin.org/ZDB-GENE-040426-2717")</f>
        <v>https://zfin.org/ZDB-GENE-040426-2717</v>
      </c>
      <c r="K1126" t="s">
        <v>3373</v>
      </c>
    </row>
    <row r="1127" spans="1:11" x14ac:dyDescent="0.2">
      <c r="A1127">
        <v>4.2127875146046896E-9</v>
      </c>
      <c r="B1127">
        <v>-1.23576090212025</v>
      </c>
      <c r="C1127">
        <v>0.246</v>
      </c>
      <c r="D1127">
        <v>0.45200000000000001</v>
      </c>
      <c r="E1127">
        <v>6.52265890886244E-5</v>
      </c>
      <c r="F1127">
        <v>1</v>
      </c>
      <c r="G1127" t="s">
        <v>3374</v>
      </c>
      <c r="H1127" t="s">
        <v>3375</v>
      </c>
      <c r="I1127" t="s">
        <v>3374</v>
      </c>
      <c r="J1127" s="1" t="str">
        <f>HYPERLINK("https://zfin.org/ZDB-GENE-031118-45")</f>
        <v>https://zfin.org/ZDB-GENE-031118-45</v>
      </c>
      <c r="K1127" t="s">
        <v>3376</v>
      </c>
    </row>
    <row r="1128" spans="1:11" x14ac:dyDescent="0.2">
      <c r="A1128">
        <v>4.3054949072654798E-9</v>
      </c>
      <c r="B1128">
        <v>-0.70518096632869798</v>
      </c>
      <c r="C1128">
        <v>0.61399999999999999</v>
      </c>
      <c r="D1128">
        <v>0.63200000000000001</v>
      </c>
      <c r="E1128">
        <v>6.6661977649191506E-5</v>
      </c>
      <c r="F1128">
        <v>1</v>
      </c>
      <c r="G1128" t="s">
        <v>3377</v>
      </c>
      <c r="H1128" t="s">
        <v>3378</v>
      </c>
      <c r="I1128" t="s">
        <v>3377</v>
      </c>
      <c r="J1128" s="1" t="str">
        <f>HYPERLINK("https://zfin.org/ZDB-GENE-030131-4915")</f>
        <v>https://zfin.org/ZDB-GENE-030131-4915</v>
      </c>
      <c r="K1128" t="s">
        <v>3379</v>
      </c>
    </row>
    <row r="1129" spans="1:11" x14ac:dyDescent="0.2">
      <c r="A1129">
        <v>5.10027593444171E-9</v>
      </c>
      <c r="B1129">
        <v>-0.74021205332456197</v>
      </c>
      <c r="C1129">
        <v>9.6000000000000002E-2</v>
      </c>
      <c r="D1129">
        <v>0.34200000000000003</v>
      </c>
      <c r="E1129">
        <v>7.8967572292961005E-5</v>
      </c>
      <c r="F1129">
        <v>1</v>
      </c>
      <c r="G1129" t="s">
        <v>3380</v>
      </c>
      <c r="H1129" t="s">
        <v>3381</v>
      </c>
      <c r="I1129" t="s">
        <v>3380</v>
      </c>
      <c r="J1129" s="1" t="str">
        <f>HYPERLINK("https://zfin.org/ZDB-GENE-030707-5")</f>
        <v>https://zfin.org/ZDB-GENE-030707-5</v>
      </c>
      <c r="K1129" t="s">
        <v>3382</v>
      </c>
    </row>
    <row r="1130" spans="1:11" x14ac:dyDescent="0.2">
      <c r="A1130">
        <v>5.7753602191461196E-9</v>
      </c>
      <c r="B1130">
        <v>-0.854927922587706</v>
      </c>
      <c r="C1130">
        <v>0.54400000000000004</v>
      </c>
      <c r="D1130">
        <v>0.60299999999999998</v>
      </c>
      <c r="E1130">
        <v>8.9419902273039396E-5</v>
      </c>
      <c r="F1130">
        <v>1</v>
      </c>
      <c r="G1130" t="s">
        <v>3383</v>
      </c>
      <c r="H1130" t="s">
        <v>3384</v>
      </c>
      <c r="I1130" t="s">
        <v>3383</v>
      </c>
      <c r="J1130" s="1" t="str">
        <f>HYPERLINK("https://zfin.org/ZDB-GENE-030131-4042")</f>
        <v>https://zfin.org/ZDB-GENE-030131-4042</v>
      </c>
      <c r="K1130" t="s">
        <v>3385</v>
      </c>
    </row>
    <row r="1131" spans="1:11" x14ac:dyDescent="0.2">
      <c r="A1131">
        <v>5.9836905600043498E-9</v>
      </c>
      <c r="B1131">
        <v>-0.85310161369179804</v>
      </c>
      <c r="C1131">
        <v>0.5</v>
      </c>
      <c r="D1131">
        <v>0.57599999999999996</v>
      </c>
      <c r="E1131">
        <v>9.2645480940547293E-5</v>
      </c>
      <c r="F1131">
        <v>1</v>
      </c>
      <c r="G1131" t="s">
        <v>3386</v>
      </c>
      <c r="H1131" t="s">
        <v>3387</v>
      </c>
      <c r="I1131" t="s">
        <v>3386</v>
      </c>
      <c r="J1131" s="1" t="str">
        <f>HYPERLINK("https://zfin.org/ZDB-GENE-080204-124")</f>
        <v>https://zfin.org/ZDB-GENE-080204-124</v>
      </c>
      <c r="K1131" t="s">
        <v>3388</v>
      </c>
    </row>
    <row r="1132" spans="1:11" x14ac:dyDescent="0.2">
      <c r="A1132">
        <v>6.3276436391412E-9</v>
      </c>
      <c r="B1132">
        <v>-0.59708021800532096</v>
      </c>
      <c r="C1132">
        <v>0.96499999999999997</v>
      </c>
      <c r="D1132">
        <v>0.82699999999999996</v>
      </c>
      <c r="E1132">
        <v>9.7970906464823205E-5</v>
      </c>
      <c r="F1132">
        <v>1</v>
      </c>
      <c r="G1132" t="s">
        <v>3389</v>
      </c>
      <c r="H1132" t="s">
        <v>3390</v>
      </c>
      <c r="I1132" t="s">
        <v>3389</v>
      </c>
      <c r="J1132" s="1" t="str">
        <f>HYPERLINK("https://zfin.org/ZDB-GENE-030131-8625")</f>
        <v>https://zfin.org/ZDB-GENE-030131-8625</v>
      </c>
      <c r="K1132" t="s">
        <v>3391</v>
      </c>
    </row>
    <row r="1133" spans="1:11" x14ac:dyDescent="0.2">
      <c r="A1133">
        <v>3.9303266316559401E-118</v>
      </c>
      <c r="B1133">
        <v>1.5281138141446799</v>
      </c>
      <c r="C1133">
        <v>0.46700000000000003</v>
      </c>
      <c r="D1133">
        <v>5.0000000000000001E-3</v>
      </c>
      <c r="E1133">
        <v>6.0853247237928898E-114</v>
      </c>
      <c r="F1133">
        <v>2</v>
      </c>
      <c r="G1133" t="s">
        <v>3392</v>
      </c>
      <c r="H1133" t="s">
        <v>3393</v>
      </c>
      <c r="I1133" t="s">
        <v>3392</v>
      </c>
      <c r="J1133" s="1" t="str">
        <f>HYPERLINK("https://zfin.org/ZDB-GENE-071004-24")</f>
        <v>https://zfin.org/ZDB-GENE-071004-24</v>
      </c>
      <c r="K1133" t="s">
        <v>3394</v>
      </c>
    </row>
    <row r="1134" spans="1:11" x14ac:dyDescent="0.2">
      <c r="A1134">
        <v>4.1078481087834502E-85</v>
      </c>
      <c r="B1134">
        <v>0.71478444184982604</v>
      </c>
      <c r="C1134">
        <v>0.4</v>
      </c>
      <c r="D1134">
        <v>8.0000000000000002E-3</v>
      </c>
      <c r="E1134">
        <v>6.3601812268294199E-81</v>
      </c>
      <c r="F1134">
        <v>2</v>
      </c>
      <c r="G1134" t="s">
        <v>3395</v>
      </c>
      <c r="H1134" t="s">
        <v>3396</v>
      </c>
      <c r="I1134" t="s">
        <v>3395</v>
      </c>
      <c r="J1134" s="1" t="str">
        <f>HYPERLINK("https://zfin.org/ZDB-GENE-030131-7868")</f>
        <v>https://zfin.org/ZDB-GENE-030131-7868</v>
      </c>
      <c r="K1134" t="s">
        <v>3397</v>
      </c>
    </row>
    <row r="1135" spans="1:11" x14ac:dyDescent="0.2">
      <c r="A1135">
        <v>1.9697538271704701E-83</v>
      </c>
      <c r="B1135">
        <v>2.5811941128269602</v>
      </c>
      <c r="C1135">
        <v>0.96699999999999997</v>
      </c>
      <c r="D1135">
        <v>0.122</v>
      </c>
      <c r="E1135">
        <v>3.0497698506080398E-79</v>
      </c>
      <c r="F1135">
        <v>2</v>
      </c>
      <c r="G1135" t="s">
        <v>331</v>
      </c>
      <c r="H1135" t="s">
        <v>332</v>
      </c>
      <c r="I1135" t="s">
        <v>331</v>
      </c>
      <c r="J1135" s="1" t="str">
        <f>HYPERLINK("https://zfin.org/ZDB-GENE-061114-1")</f>
        <v>https://zfin.org/ZDB-GENE-061114-1</v>
      </c>
      <c r="K1135" t="s">
        <v>333</v>
      </c>
    </row>
    <row r="1136" spans="1:11" x14ac:dyDescent="0.2">
      <c r="A1136">
        <v>2.97612263906012E-83</v>
      </c>
      <c r="B1136">
        <v>1.5284231105742501</v>
      </c>
      <c r="C1136">
        <v>0.81699999999999995</v>
      </c>
      <c r="D1136">
        <v>7.2999999999999995E-2</v>
      </c>
      <c r="E1136">
        <v>4.60793068205678E-79</v>
      </c>
      <c r="F1136">
        <v>2</v>
      </c>
      <c r="G1136" t="s">
        <v>600</v>
      </c>
      <c r="H1136" t="s">
        <v>601</v>
      </c>
      <c r="I1136" t="s">
        <v>600</v>
      </c>
      <c r="J1136" s="1" t="str">
        <f>HYPERLINK("https://zfin.org/ZDB-GENE-040718-92")</f>
        <v>https://zfin.org/ZDB-GENE-040718-92</v>
      </c>
      <c r="K1136" t="s">
        <v>602</v>
      </c>
    </row>
    <row r="1137" spans="1:11" x14ac:dyDescent="0.2">
      <c r="A1137">
        <v>2.21172637798256E-77</v>
      </c>
      <c r="B1137">
        <v>2.78724507029608</v>
      </c>
      <c r="C1137">
        <v>1</v>
      </c>
      <c r="D1137">
        <v>0.152</v>
      </c>
      <c r="E1137">
        <v>3.42441595103041E-73</v>
      </c>
      <c r="F1137">
        <v>2</v>
      </c>
      <c r="G1137" t="s">
        <v>322</v>
      </c>
      <c r="H1137" t="s">
        <v>323</v>
      </c>
      <c r="I1137" t="s">
        <v>322</v>
      </c>
      <c r="J1137" s="1" t="str">
        <f>HYPERLINK("https://zfin.org/ZDB-GENE-090507-4")</f>
        <v>https://zfin.org/ZDB-GENE-090507-4</v>
      </c>
      <c r="K1137" t="s">
        <v>324</v>
      </c>
    </row>
    <row r="1138" spans="1:11" x14ac:dyDescent="0.2">
      <c r="A1138">
        <v>3.5136618487864099E-74</v>
      </c>
      <c r="B1138">
        <v>0.87468429874933096</v>
      </c>
      <c r="C1138">
        <v>0.6</v>
      </c>
      <c r="D1138">
        <v>3.5999999999999997E-2</v>
      </c>
      <c r="E1138">
        <v>5.4402026404760002E-70</v>
      </c>
      <c r="F1138">
        <v>2</v>
      </c>
      <c r="G1138" t="s">
        <v>1116</v>
      </c>
      <c r="H1138" t="s">
        <v>1117</v>
      </c>
      <c r="I1138" t="s">
        <v>1116</v>
      </c>
      <c r="J1138" s="1" t="str">
        <f>HYPERLINK("https://zfin.org/ZDB-GENE-040724-235")</f>
        <v>https://zfin.org/ZDB-GENE-040724-235</v>
      </c>
      <c r="K1138" t="s">
        <v>1118</v>
      </c>
    </row>
    <row r="1139" spans="1:11" x14ac:dyDescent="0.2">
      <c r="A1139">
        <v>6.8548997918057201E-74</v>
      </c>
      <c r="B1139">
        <v>2.6046698028112698</v>
      </c>
      <c r="C1139">
        <v>1</v>
      </c>
      <c r="D1139">
        <v>0.17599999999999999</v>
      </c>
      <c r="E1139">
        <v>1.06134413476528E-69</v>
      </c>
      <c r="F1139">
        <v>2</v>
      </c>
      <c r="G1139" t="s">
        <v>371</v>
      </c>
      <c r="H1139" t="s">
        <v>372</v>
      </c>
      <c r="I1139" t="s">
        <v>371</v>
      </c>
      <c r="J1139" s="1" t="str">
        <f>HYPERLINK("https://zfin.org/ZDB-GENE-040628-1")</f>
        <v>https://zfin.org/ZDB-GENE-040628-1</v>
      </c>
      <c r="K1139" t="s">
        <v>373</v>
      </c>
    </row>
    <row r="1140" spans="1:11" x14ac:dyDescent="0.2">
      <c r="A1140">
        <v>2.0718591949565799E-71</v>
      </c>
      <c r="B1140">
        <v>1.06007586842274</v>
      </c>
      <c r="C1140">
        <v>0.35</v>
      </c>
      <c r="D1140">
        <v>8.0000000000000002E-3</v>
      </c>
      <c r="E1140">
        <v>3.20785959155128E-67</v>
      </c>
      <c r="F1140">
        <v>2</v>
      </c>
      <c r="G1140" t="s">
        <v>3398</v>
      </c>
      <c r="H1140" t="s">
        <v>3399</v>
      </c>
      <c r="I1140" t="s">
        <v>3398</v>
      </c>
      <c r="J1140" s="1" t="str">
        <f>HYPERLINK("https://zfin.org/ZDB-GENE-041201-1")</f>
        <v>https://zfin.org/ZDB-GENE-041201-1</v>
      </c>
      <c r="K1140" t="s">
        <v>3400</v>
      </c>
    </row>
    <row r="1141" spans="1:11" x14ac:dyDescent="0.2">
      <c r="A1141">
        <v>1.4264013627968699E-69</v>
      </c>
      <c r="B1141">
        <v>0.96133333454673697</v>
      </c>
      <c r="C1141">
        <v>0.5</v>
      </c>
      <c r="D1141">
        <v>2.5999999999999999E-2</v>
      </c>
      <c r="E1141">
        <v>2.2084972300183898E-65</v>
      </c>
      <c r="F1141">
        <v>2</v>
      </c>
      <c r="G1141" t="s">
        <v>3401</v>
      </c>
      <c r="H1141" t="s">
        <v>3402</v>
      </c>
      <c r="I1141" t="s">
        <v>3401</v>
      </c>
      <c r="J1141" s="1" t="str">
        <f>HYPERLINK("https://zfin.org/ZDB-GENE-050208-747")</f>
        <v>https://zfin.org/ZDB-GENE-050208-747</v>
      </c>
      <c r="K1141" t="s">
        <v>3403</v>
      </c>
    </row>
    <row r="1142" spans="1:11" x14ac:dyDescent="0.2">
      <c r="A1142">
        <v>1.5137333701784102E-67</v>
      </c>
      <c r="B1142">
        <v>0.74459403228216403</v>
      </c>
      <c r="C1142">
        <v>0.46700000000000003</v>
      </c>
      <c r="D1142">
        <v>2.1999999999999999E-2</v>
      </c>
      <c r="E1142">
        <v>2.3437133770472301E-63</v>
      </c>
      <c r="F1142">
        <v>2</v>
      </c>
      <c r="G1142" t="s">
        <v>2165</v>
      </c>
      <c r="H1142" t="s">
        <v>2166</v>
      </c>
      <c r="I1142" t="s">
        <v>2165</v>
      </c>
      <c r="J1142" s="1" t="str">
        <f>HYPERLINK("https://zfin.org/ZDB-GENE-040426-1767")</f>
        <v>https://zfin.org/ZDB-GENE-040426-1767</v>
      </c>
      <c r="K1142" t="s">
        <v>2167</v>
      </c>
    </row>
    <row r="1143" spans="1:11" x14ac:dyDescent="0.2">
      <c r="A1143">
        <v>4.4684491394198703E-63</v>
      </c>
      <c r="B1143">
        <v>1.3734846559888201</v>
      </c>
      <c r="C1143">
        <v>0.66700000000000004</v>
      </c>
      <c r="D1143">
        <v>6.2E-2</v>
      </c>
      <c r="E1143">
        <v>6.9184998025637804E-59</v>
      </c>
      <c r="F1143">
        <v>2</v>
      </c>
      <c r="G1143" t="s">
        <v>361</v>
      </c>
      <c r="H1143" t="s">
        <v>362</v>
      </c>
      <c r="I1143" t="s">
        <v>363</v>
      </c>
      <c r="J1143" s="1" t="str">
        <f>HYPERLINK("https://zfin.org/ZDB-GENE-040426-1687")</f>
        <v>https://zfin.org/ZDB-GENE-040426-1687</v>
      </c>
      <c r="K1143" t="s">
        <v>364</v>
      </c>
    </row>
    <row r="1144" spans="1:11" x14ac:dyDescent="0.2">
      <c r="A1144">
        <v>4.8913106037836804E-63</v>
      </c>
      <c r="B1144">
        <v>1.43768962320528</v>
      </c>
      <c r="C1144">
        <v>0.73299999999999998</v>
      </c>
      <c r="D1144">
        <v>0.08</v>
      </c>
      <c r="E1144">
        <v>7.5732162078382702E-59</v>
      </c>
      <c r="F1144">
        <v>2</v>
      </c>
      <c r="G1144" t="s">
        <v>471</v>
      </c>
      <c r="H1144" t="s">
        <v>472</v>
      </c>
      <c r="I1144" t="s">
        <v>471</v>
      </c>
      <c r="J1144" s="1" t="str">
        <f>HYPERLINK("https://zfin.org/ZDB-GENE-070424-166")</f>
        <v>https://zfin.org/ZDB-GENE-070424-166</v>
      </c>
      <c r="K1144" t="s">
        <v>473</v>
      </c>
    </row>
    <row r="1145" spans="1:11" x14ac:dyDescent="0.2">
      <c r="A1145">
        <v>5.1639793474886001E-61</v>
      </c>
      <c r="B1145">
        <v>1.7716571813225901</v>
      </c>
      <c r="C1145">
        <v>0.95</v>
      </c>
      <c r="D1145">
        <v>0.15</v>
      </c>
      <c r="E1145">
        <v>7.9953892237166002E-57</v>
      </c>
      <c r="F1145">
        <v>2</v>
      </c>
      <c r="G1145" t="s">
        <v>219</v>
      </c>
      <c r="H1145" t="s">
        <v>220</v>
      </c>
      <c r="I1145" t="s">
        <v>219</v>
      </c>
      <c r="J1145" s="1" t="str">
        <f>HYPERLINK("https://zfin.org/ZDB-GENE-030925-29")</f>
        <v>https://zfin.org/ZDB-GENE-030925-29</v>
      </c>
      <c r="K1145" t="s">
        <v>221</v>
      </c>
    </row>
    <row r="1146" spans="1:11" x14ac:dyDescent="0.2">
      <c r="A1146">
        <v>3.0786409988592999E-60</v>
      </c>
      <c r="B1146">
        <v>1.4358426993908799</v>
      </c>
      <c r="C1146">
        <v>0.63300000000000001</v>
      </c>
      <c r="D1146">
        <v>5.8000000000000003E-2</v>
      </c>
      <c r="E1146">
        <v>4.76665985853385E-56</v>
      </c>
      <c r="F1146">
        <v>2</v>
      </c>
      <c r="G1146" t="s">
        <v>1522</v>
      </c>
      <c r="H1146" t="s">
        <v>1523</v>
      </c>
      <c r="I1146" t="s">
        <v>1522</v>
      </c>
      <c r="J1146" s="1" t="str">
        <f>HYPERLINK("https://zfin.org/ZDB-GENE-061215-70")</f>
        <v>https://zfin.org/ZDB-GENE-061215-70</v>
      </c>
      <c r="K1146" t="s">
        <v>1524</v>
      </c>
    </row>
    <row r="1147" spans="1:11" x14ac:dyDescent="0.2">
      <c r="A1147">
        <v>7.3413535846308498E-60</v>
      </c>
      <c r="B1147">
        <v>0.63687262366567199</v>
      </c>
      <c r="C1147">
        <v>0.26700000000000002</v>
      </c>
      <c r="D1147">
        <v>5.0000000000000001E-3</v>
      </c>
      <c r="E1147">
        <v>1.1366617755083899E-55</v>
      </c>
      <c r="F1147">
        <v>2</v>
      </c>
      <c r="G1147" t="s">
        <v>3404</v>
      </c>
      <c r="H1147" t="s">
        <v>3405</v>
      </c>
      <c r="I1147" t="s">
        <v>3404</v>
      </c>
      <c r="J1147" s="1" t="str">
        <f>HYPERLINK("https://zfin.org/ZDB-GENE-031204-3")</f>
        <v>https://zfin.org/ZDB-GENE-031204-3</v>
      </c>
      <c r="K1147" t="s">
        <v>3406</v>
      </c>
    </row>
    <row r="1148" spans="1:11" x14ac:dyDescent="0.2">
      <c r="A1148">
        <v>1.32847939161381E-59</v>
      </c>
      <c r="B1148">
        <v>1.04346532835384</v>
      </c>
      <c r="C1148">
        <v>0.45</v>
      </c>
      <c r="D1148">
        <v>2.5000000000000001E-2</v>
      </c>
      <c r="E1148">
        <v>2.0568846420356599E-55</v>
      </c>
      <c r="F1148">
        <v>2</v>
      </c>
      <c r="G1148" t="s">
        <v>3407</v>
      </c>
      <c r="H1148" t="s">
        <v>3408</v>
      </c>
      <c r="I1148" t="s">
        <v>3407</v>
      </c>
      <c r="J1148" s="1" t="str">
        <f>HYPERLINK("https://zfin.org/ZDB-GENE-030131-3885")</f>
        <v>https://zfin.org/ZDB-GENE-030131-3885</v>
      </c>
      <c r="K1148" t="s">
        <v>3409</v>
      </c>
    </row>
    <row r="1149" spans="1:11" x14ac:dyDescent="0.2">
      <c r="A1149">
        <v>3.1290926394322101E-59</v>
      </c>
      <c r="B1149">
        <v>1.2030440267787801</v>
      </c>
      <c r="C1149">
        <v>0.6</v>
      </c>
      <c r="D1149">
        <v>5.1999999999999998E-2</v>
      </c>
      <c r="E1149">
        <v>4.8447741336328897E-55</v>
      </c>
      <c r="F1149">
        <v>2</v>
      </c>
      <c r="G1149" t="s">
        <v>755</v>
      </c>
      <c r="H1149" t="s">
        <v>756</v>
      </c>
      <c r="I1149" t="s">
        <v>755</v>
      </c>
      <c r="J1149" s="1" t="str">
        <f>HYPERLINK("https://zfin.org/ZDB-GENE-070206-10")</f>
        <v>https://zfin.org/ZDB-GENE-070206-10</v>
      </c>
      <c r="K1149" t="s">
        <v>757</v>
      </c>
    </row>
    <row r="1150" spans="1:11" x14ac:dyDescent="0.2">
      <c r="A1150">
        <v>7.4987361832779299E-59</v>
      </c>
      <c r="B1150">
        <v>0.73839647066386704</v>
      </c>
      <c r="C1150">
        <v>0.33300000000000002</v>
      </c>
      <c r="D1150">
        <v>1.0999999999999999E-2</v>
      </c>
      <c r="E1150">
        <v>1.16102932325692E-54</v>
      </c>
      <c r="F1150">
        <v>2</v>
      </c>
      <c r="G1150" t="s">
        <v>3410</v>
      </c>
      <c r="H1150" t="s">
        <v>3411</v>
      </c>
      <c r="I1150" t="s">
        <v>3410</v>
      </c>
      <c r="J1150" s="1" t="str">
        <f>HYPERLINK("https://zfin.org/ZDB-GENE-040426-1758")</f>
        <v>https://zfin.org/ZDB-GENE-040426-1758</v>
      </c>
      <c r="K1150" t="s">
        <v>3412</v>
      </c>
    </row>
    <row r="1151" spans="1:11" x14ac:dyDescent="0.2">
      <c r="A1151">
        <v>1.04225563239928E-58</v>
      </c>
      <c r="B1151">
        <v>1.5924041252443299</v>
      </c>
      <c r="C1151">
        <v>0.78300000000000003</v>
      </c>
      <c r="D1151">
        <v>0.105</v>
      </c>
      <c r="E1151">
        <v>1.6137243956438001E-54</v>
      </c>
      <c r="F1151">
        <v>2</v>
      </c>
      <c r="G1151" t="s">
        <v>337</v>
      </c>
      <c r="H1151" t="s">
        <v>338</v>
      </c>
      <c r="I1151" t="s">
        <v>337</v>
      </c>
      <c r="J1151" s="1" t="str">
        <f>HYPERLINK("https://zfin.org/ZDB-GENE-010718-1")</f>
        <v>https://zfin.org/ZDB-GENE-010718-1</v>
      </c>
      <c r="K1151" t="s">
        <v>339</v>
      </c>
    </row>
    <row r="1152" spans="1:11" x14ac:dyDescent="0.2">
      <c r="A1152">
        <v>2.2784033725095199E-57</v>
      </c>
      <c r="B1152">
        <v>1.10548312039964</v>
      </c>
      <c r="C1152">
        <v>0.55000000000000004</v>
      </c>
      <c r="D1152">
        <v>4.3999999999999997E-2</v>
      </c>
      <c r="E1152">
        <v>3.52765194165648E-53</v>
      </c>
      <c r="F1152">
        <v>2</v>
      </c>
      <c r="G1152" t="s">
        <v>737</v>
      </c>
      <c r="H1152" t="s">
        <v>738</v>
      </c>
      <c r="I1152" t="s">
        <v>737</v>
      </c>
      <c r="J1152" s="1" t="str">
        <f>HYPERLINK("https://zfin.org/ZDB-GENE-060201-2")</f>
        <v>https://zfin.org/ZDB-GENE-060201-2</v>
      </c>
      <c r="K1152" t="s">
        <v>739</v>
      </c>
    </row>
    <row r="1153" spans="1:11" x14ac:dyDescent="0.2">
      <c r="A1153">
        <v>2.7520998155352198E-57</v>
      </c>
      <c r="B1153">
        <v>0.39923793436667798</v>
      </c>
      <c r="C1153">
        <v>0.217</v>
      </c>
      <c r="D1153">
        <v>2E-3</v>
      </c>
      <c r="E1153">
        <v>4.2610761443931898E-53</v>
      </c>
      <c r="F1153">
        <v>2</v>
      </c>
      <c r="G1153" t="s">
        <v>3413</v>
      </c>
      <c r="H1153" t="s">
        <v>3414</v>
      </c>
      <c r="I1153" t="s">
        <v>3413</v>
      </c>
      <c r="J1153" s="1" t="str">
        <f>HYPERLINK("https://zfin.org/ZDB-GENE-070912-481")</f>
        <v>https://zfin.org/ZDB-GENE-070912-481</v>
      </c>
      <c r="K1153" t="s">
        <v>3415</v>
      </c>
    </row>
    <row r="1154" spans="1:11" x14ac:dyDescent="0.2">
      <c r="A1154">
        <v>4.4244699997597199E-57</v>
      </c>
      <c r="B1154">
        <v>1.64126005135223</v>
      </c>
      <c r="C1154">
        <v>0.76700000000000002</v>
      </c>
      <c r="D1154">
        <v>0.10100000000000001</v>
      </c>
      <c r="E1154">
        <v>6.8504069006279799E-53</v>
      </c>
      <c r="F1154">
        <v>2</v>
      </c>
      <c r="G1154" t="s">
        <v>507</v>
      </c>
      <c r="H1154" t="s">
        <v>508</v>
      </c>
      <c r="I1154" t="s">
        <v>507</v>
      </c>
      <c r="J1154" s="1" t="str">
        <f>HYPERLINK("https://zfin.org/ZDB-GENE-031001-3")</f>
        <v>https://zfin.org/ZDB-GENE-031001-3</v>
      </c>
      <c r="K1154" t="s">
        <v>509</v>
      </c>
    </row>
    <row r="1155" spans="1:11" x14ac:dyDescent="0.2">
      <c r="A1155">
        <v>4.2781835282657203E-56</v>
      </c>
      <c r="B1155">
        <v>0.64894201204147295</v>
      </c>
      <c r="C1155">
        <v>0.4</v>
      </c>
      <c r="D1155">
        <v>0.02</v>
      </c>
      <c r="E1155">
        <v>6.6239115568138203E-52</v>
      </c>
      <c r="F1155">
        <v>2</v>
      </c>
      <c r="G1155" t="s">
        <v>2467</v>
      </c>
      <c r="H1155" t="s">
        <v>2468</v>
      </c>
      <c r="I1155" t="s">
        <v>2467</v>
      </c>
      <c r="J1155" s="1" t="str">
        <f>HYPERLINK("https://zfin.org/ZDB-GENE-030131-2412")</f>
        <v>https://zfin.org/ZDB-GENE-030131-2412</v>
      </c>
      <c r="K1155" t="s">
        <v>2469</v>
      </c>
    </row>
    <row r="1156" spans="1:11" x14ac:dyDescent="0.2">
      <c r="A1156">
        <v>8.0720338008549997E-56</v>
      </c>
      <c r="B1156">
        <v>0.51210993974802599</v>
      </c>
      <c r="C1156">
        <v>0.23300000000000001</v>
      </c>
      <c r="D1156">
        <v>3.0000000000000001E-3</v>
      </c>
      <c r="E1156">
        <v>1.24979299338638E-51</v>
      </c>
      <c r="F1156">
        <v>2</v>
      </c>
      <c r="G1156" t="s">
        <v>3416</v>
      </c>
      <c r="H1156" t="s">
        <v>3417</v>
      </c>
      <c r="I1156" t="s">
        <v>3416</v>
      </c>
      <c r="J1156" s="1" t="str">
        <f>HYPERLINK("https://zfin.org/ZDB-GENE-030710-8")</f>
        <v>https://zfin.org/ZDB-GENE-030710-8</v>
      </c>
      <c r="K1156" t="s">
        <v>3418</v>
      </c>
    </row>
    <row r="1157" spans="1:11" x14ac:dyDescent="0.2">
      <c r="A1157">
        <v>1.43905920326717E-55</v>
      </c>
      <c r="B1157">
        <v>0.76390878148226105</v>
      </c>
      <c r="C1157">
        <v>0.433</v>
      </c>
      <c r="D1157">
        <v>2.5000000000000001E-2</v>
      </c>
      <c r="E1157">
        <v>2.2280953644185501E-51</v>
      </c>
      <c r="F1157">
        <v>2</v>
      </c>
      <c r="G1157" t="s">
        <v>3419</v>
      </c>
      <c r="H1157" t="s">
        <v>3420</v>
      </c>
      <c r="I1157" t="s">
        <v>3419</v>
      </c>
      <c r="J1157" s="1" t="str">
        <f>HYPERLINK("https://zfin.org/ZDB-GENE-030724-6")</f>
        <v>https://zfin.org/ZDB-GENE-030724-6</v>
      </c>
      <c r="K1157" t="s">
        <v>3421</v>
      </c>
    </row>
    <row r="1158" spans="1:11" x14ac:dyDescent="0.2">
      <c r="A1158">
        <v>3.4935867579807303E-55</v>
      </c>
      <c r="B1158">
        <v>1.1401248822896199</v>
      </c>
      <c r="C1158">
        <v>0.53300000000000003</v>
      </c>
      <c r="D1158">
        <v>4.2999999999999997E-2</v>
      </c>
      <c r="E1158">
        <v>5.4091203773815603E-51</v>
      </c>
      <c r="F1158">
        <v>2</v>
      </c>
      <c r="G1158" t="s">
        <v>764</v>
      </c>
      <c r="H1158" t="s">
        <v>765</v>
      </c>
      <c r="I1158" t="s">
        <v>764</v>
      </c>
      <c r="J1158" s="1" t="str">
        <f>HYPERLINK("https://zfin.org/ZDB-GENE-061013-134")</f>
        <v>https://zfin.org/ZDB-GENE-061013-134</v>
      </c>
      <c r="K1158" t="s">
        <v>766</v>
      </c>
    </row>
    <row r="1159" spans="1:11" x14ac:dyDescent="0.2">
      <c r="A1159">
        <v>7.0594777446342205E-55</v>
      </c>
      <c r="B1159">
        <v>1.3971496615057899</v>
      </c>
      <c r="C1159">
        <v>0.46700000000000003</v>
      </c>
      <c r="D1159">
        <v>0.03</v>
      </c>
      <c r="E1159">
        <v>1.0930189392017199E-50</v>
      </c>
      <c r="F1159">
        <v>2</v>
      </c>
      <c r="G1159" t="s">
        <v>3422</v>
      </c>
      <c r="H1159" t="s">
        <v>3423</v>
      </c>
      <c r="I1159" t="s">
        <v>3422</v>
      </c>
      <c r="J1159" s="1" t="str">
        <f>HYPERLINK("https://zfin.org/ZDB-GENE-030131-2602")</f>
        <v>https://zfin.org/ZDB-GENE-030131-2602</v>
      </c>
      <c r="K1159" t="s">
        <v>3424</v>
      </c>
    </row>
    <row r="1160" spans="1:11" x14ac:dyDescent="0.2">
      <c r="A1160">
        <v>1.56717526004126E-54</v>
      </c>
      <c r="B1160">
        <v>1.6148220172666401</v>
      </c>
      <c r="C1160">
        <v>0.9</v>
      </c>
      <c r="D1160">
        <v>0.155</v>
      </c>
      <c r="E1160">
        <v>2.4264574551218901E-50</v>
      </c>
      <c r="F1160">
        <v>2</v>
      </c>
      <c r="G1160" t="s">
        <v>2066</v>
      </c>
      <c r="H1160" t="s">
        <v>2067</v>
      </c>
      <c r="I1160" t="s">
        <v>2066</v>
      </c>
      <c r="J1160" s="1" t="str">
        <f>HYPERLINK("https://zfin.org/ZDB-GENE-990415-17")</f>
        <v>https://zfin.org/ZDB-GENE-990415-17</v>
      </c>
      <c r="K1160" t="s">
        <v>2068</v>
      </c>
    </row>
    <row r="1161" spans="1:11" x14ac:dyDescent="0.2">
      <c r="A1161">
        <v>3.2938060512377199E-53</v>
      </c>
      <c r="B1161">
        <v>1.1576462836347301</v>
      </c>
      <c r="C1161">
        <v>0.51700000000000002</v>
      </c>
      <c r="D1161">
        <v>4.2000000000000003E-2</v>
      </c>
      <c r="E1161">
        <v>5.0997999091313598E-49</v>
      </c>
      <c r="F1161">
        <v>2</v>
      </c>
      <c r="G1161" t="s">
        <v>363</v>
      </c>
      <c r="H1161" t="s">
        <v>841</v>
      </c>
      <c r="I1161" t="s">
        <v>363</v>
      </c>
      <c r="J1161" s="1" t="str">
        <f>HYPERLINK("https://zfin.org/ZDB-GENE-040426-1687")</f>
        <v>https://zfin.org/ZDB-GENE-040426-1687</v>
      </c>
      <c r="K1161" t="s">
        <v>364</v>
      </c>
    </row>
    <row r="1162" spans="1:11" x14ac:dyDescent="0.2">
      <c r="A1162">
        <v>3.4045611189177098E-53</v>
      </c>
      <c r="B1162">
        <v>1.5770435934750799</v>
      </c>
      <c r="C1162">
        <v>0.81699999999999995</v>
      </c>
      <c r="D1162">
        <v>0.129</v>
      </c>
      <c r="E1162">
        <v>5.2712819804202902E-49</v>
      </c>
      <c r="F1162">
        <v>2</v>
      </c>
      <c r="G1162" t="s">
        <v>254</v>
      </c>
      <c r="H1162" t="s">
        <v>255</v>
      </c>
      <c r="I1162" t="s">
        <v>254</v>
      </c>
      <c r="J1162" s="1" t="str">
        <f>HYPERLINK("https://zfin.org/ZDB-GENE-060616-326")</f>
        <v>https://zfin.org/ZDB-GENE-060616-326</v>
      </c>
      <c r="K1162" t="s">
        <v>256</v>
      </c>
    </row>
    <row r="1163" spans="1:11" x14ac:dyDescent="0.2">
      <c r="A1163">
        <v>6.63934144418593E-52</v>
      </c>
      <c r="B1163">
        <v>0.59755639315514697</v>
      </c>
      <c r="C1163">
        <v>0.33300000000000002</v>
      </c>
      <c r="D1163">
        <v>1.4E-2</v>
      </c>
      <c r="E1163">
        <v>1.0279692358033099E-47</v>
      </c>
      <c r="F1163">
        <v>2</v>
      </c>
      <c r="G1163" t="s">
        <v>3425</v>
      </c>
      <c r="H1163" t="s">
        <v>3426</v>
      </c>
      <c r="I1163" t="s">
        <v>3425</v>
      </c>
      <c r="J1163" s="1" t="str">
        <f>HYPERLINK("https://zfin.org/ZDB-GENE-040116-8")</f>
        <v>https://zfin.org/ZDB-GENE-040116-8</v>
      </c>
      <c r="K1163" t="s">
        <v>3427</v>
      </c>
    </row>
    <row r="1164" spans="1:11" x14ac:dyDescent="0.2">
      <c r="A1164">
        <v>7.9400663302946599E-51</v>
      </c>
      <c r="B1164">
        <v>0.54466637684042896</v>
      </c>
      <c r="C1164">
        <v>0.183</v>
      </c>
      <c r="D1164">
        <v>1E-3</v>
      </c>
      <c r="E1164">
        <v>1.2293604699195199E-46</v>
      </c>
      <c r="F1164">
        <v>2</v>
      </c>
      <c r="G1164" t="s">
        <v>3428</v>
      </c>
      <c r="H1164" t="s">
        <v>3429</v>
      </c>
      <c r="I1164" t="s">
        <v>3428</v>
      </c>
      <c r="J1164" s="1" t="str">
        <f>HYPERLINK("https://zfin.org/ZDB-GENE-070330-1")</f>
        <v>https://zfin.org/ZDB-GENE-070330-1</v>
      </c>
      <c r="K1164" t="s">
        <v>3430</v>
      </c>
    </row>
    <row r="1165" spans="1:11" x14ac:dyDescent="0.2">
      <c r="A1165">
        <v>9.4565449261057399E-51</v>
      </c>
      <c r="B1165">
        <v>1.3018025224763901</v>
      </c>
      <c r="C1165">
        <v>0.66700000000000004</v>
      </c>
      <c r="D1165">
        <v>8.1000000000000003E-2</v>
      </c>
      <c r="E1165">
        <v>1.4641568509089499E-46</v>
      </c>
      <c r="F1165">
        <v>2</v>
      </c>
      <c r="G1165" t="s">
        <v>3431</v>
      </c>
      <c r="H1165" t="s">
        <v>3432</v>
      </c>
      <c r="I1165" t="s">
        <v>3431</v>
      </c>
      <c r="J1165" s="1" t="str">
        <f>HYPERLINK("https://zfin.org/ZDB-GENE-030925-31")</f>
        <v>https://zfin.org/ZDB-GENE-030925-31</v>
      </c>
      <c r="K1165" t="s">
        <v>3433</v>
      </c>
    </row>
    <row r="1166" spans="1:11" x14ac:dyDescent="0.2">
      <c r="A1166">
        <v>1.90196609407411E-50</v>
      </c>
      <c r="B1166">
        <v>0.75987795610639497</v>
      </c>
      <c r="C1166">
        <v>0.38300000000000001</v>
      </c>
      <c r="D1166">
        <v>2.1000000000000001E-2</v>
      </c>
      <c r="E1166">
        <v>2.94481410345494E-46</v>
      </c>
      <c r="F1166">
        <v>2</v>
      </c>
      <c r="G1166" t="s">
        <v>2248</v>
      </c>
      <c r="H1166" t="s">
        <v>2249</v>
      </c>
      <c r="I1166" t="s">
        <v>2248</v>
      </c>
      <c r="J1166" s="1" t="str">
        <f>HYPERLINK("https://zfin.org/ZDB-GENE-990415-8")</f>
        <v>https://zfin.org/ZDB-GENE-990415-8</v>
      </c>
      <c r="K1166" t="s">
        <v>2250</v>
      </c>
    </row>
    <row r="1167" spans="1:11" x14ac:dyDescent="0.2">
      <c r="A1167">
        <v>7.0711376923888398E-50</v>
      </c>
      <c r="B1167">
        <v>0.84521621555892101</v>
      </c>
      <c r="C1167">
        <v>0.48299999999999998</v>
      </c>
      <c r="D1167">
        <v>3.7999999999999999E-2</v>
      </c>
      <c r="E1167">
        <v>1.0948242489125601E-45</v>
      </c>
      <c r="F1167">
        <v>2</v>
      </c>
      <c r="G1167" t="s">
        <v>1718</v>
      </c>
      <c r="H1167" t="s">
        <v>1719</v>
      </c>
      <c r="I1167" t="s">
        <v>1718</v>
      </c>
      <c r="J1167" s="1" t="str">
        <f>HYPERLINK("https://zfin.org/ZDB-GENE-131127-55")</f>
        <v>https://zfin.org/ZDB-GENE-131127-55</v>
      </c>
      <c r="K1167" t="s">
        <v>1720</v>
      </c>
    </row>
    <row r="1168" spans="1:11" x14ac:dyDescent="0.2">
      <c r="A1168">
        <v>7.5434803310692596E-50</v>
      </c>
      <c r="B1168">
        <v>0.75189910809377203</v>
      </c>
      <c r="C1168">
        <v>0.41699999999999998</v>
      </c>
      <c r="D1168">
        <v>2.7E-2</v>
      </c>
      <c r="E1168">
        <v>1.1679570596594501E-45</v>
      </c>
      <c r="F1168">
        <v>2</v>
      </c>
      <c r="G1168" t="s">
        <v>2189</v>
      </c>
      <c r="H1168" t="s">
        <v>2190</v>
      </c>
      <c r="I1168" t="s">
        <v>2189</v>
      </c>
      <c r="J1168" s="1" t="str">
        <f>HYPERLINK("https://zfin.org/ZDB-GENE-050227-4")</f>
        <v>https://zfin.org/ZDB-GENE-050227-4</v>
      </c>
      <c r="K1168" t="s">
        <v>2191</v>
      </c>
    </row>
    <row r="1169" spans="1:11" x14ac:dyDescent="0.2">
      <c r="A1169">
        <v>9.1850409544507095E-50</v>
      </c>
      <c r="B1169">
        <v>1.0125756990436801</v>
      </c>
      <c r="C1169">
        <v>0.433</v>
      </c>
      <c r="D1169">
        <v>0.03</v>
      </c>
      <c r="E1169">
        <v>1.4221198909776E-45</v>
      </c>
      <c r="F1169">
        <v>2</v>
      </c>
      <c r="G1169" t="s">
        <v>950</v>
      </c>
      <c r="H1169" t="s">
        <v>951</v>
      </c>
      <c r="I1169" t="s">
        <v>950</v>
      </c>
      <c r="J1169" s="1" t="str">
        <f>HYPERLINK("https://zfin.org/ZDB-GENE-050720-2")</f>
        <v>https://zfin.org/ZDB-GENE-050720-2</v>
      </c>
      <c r="K1169" t="s">
        <v>952</v>
      </c>
    </row>
    <row r="1170" spans="1:11" x14ac:dyDescent="0.2">
      <c r="A1170">
        <v>5.8708107662658004E-49</v>
      </c>
      <c r="B1170">
        <v>1.2952564172713701</v>
      </c>
      <c r="C1170">
        <v>0.61699999999999999</v>
      </c>
      <c r="D1170">
        <v>7.0999999999999994E-2</v>
      </c>
      <c r="E1170">
        <v>9.0897763094093404E-45</v>
      </c>
      <c r="F1170">
        <v>2</v>
      </c>
      <c r="G1170" t="s">
        <v>334</v>
      </c>
      <c r="H1170" t="s">
        <v>335</v>
      </c>
      <c r="I1170" t="s">
        <v>334</v>
      </c>
      <c r="J1170" s="1" t="str">
        <f>HYPERLINK("https://zfin.org/ZDB-GENE-140106-61")</f>
        <v>https://zfin.org/ZDB-GENE-140106-61</v>
      </c>
      <c r="K1170" t="s">
        <v>336</v>
      </c>
    </row>
    <row r="1171" spans="1:11" x14ac:dyDescent="0.2">
      <c r="A1171">
        <v>1.1923516564916901E-47</v>
      </c>
      <c r="B1171">
        <v>1.0046574456772901</v>
      </c>
      <c r="C1171">
        <v>0.61699999999999999</v>
      </c>
      <c r="D1171">
        <v>7.0000000000000007E-2</v>
      </c>
      <c r="E1171">
        <v>1.8461180697460799E-43</v>
      </c>
      <c r="F1171">
        <v>2</v>
      </c>
      <c r="G1171" t="s">
        <v>189</v>
      </c>
      <c r="H1171" t="s">
        <v>190</v>
      </c>
      <c r="I1171" t="s">
        <v>189</v>
      </c>
      <c r="J1171" s="1" t="str">
        <f>HYPERLINK("https://zfin.org/ZDB-GENE-040426-1804")</f>
        <v>https://zfin.org/ZDB-GENE-040426-1804</v>
      </c>
      <c r="K1171" t="s">
        <v>191</v>
      </c>
    </row>
    <row r="1172" spans="1:11" x14ac:dyDescent="0.2">
      <c r="A1172">
        <v>2.3190761694588199E-47</v>
      </c>
      <c r="B1172">
        <v>1.12099322497873</v>
      </c>
      <c r="C1172">
        <v>0.58299999999999996</v>
      </c>
      <c r="D1172">
        <v>6.6000000000000003E-2</v>
      </c>
      <c r="E1172">
        <v>3.5906256331730904E-43</v>
      </c>
      <c r="F1172">
        <v>2</v>
      </c>
      <c r="G1172" t="s">
        <v>275</v>
      </c>
      <c r="H1172" t="s">
        <v>276</v>
      </c>
      <c r="I1172" t="s">
        <v>275</v>
      </c>
      <c r="J1172" s="1" t="str">
        <f>HYPERLINK("https://zfin.org/ZDB-GENE-111118-2")</f>
        <v>https://zfin.org/ZDB-GENE-111118-2</v>
      </c>
      <c r="K1172" t="s">
        <v>277</v>
      </c>
    </row>
    <row r="1173" spans="1:11" x14ac:dyDescent="0.2">
      <c r="A1173">
        <v>3.6199832430230599E-47</v>
      </c>
      <c r="B1173">
        <v>1.3127456400594999</v>
      </c>
      <c r="C1173">
        <v>0.61699999999999999</v>
      </c>
      <c r="D1173">
        <v>7.2999999999999995E-2</v>
      </c>
      <c r="E1173">
        <v>5.6048200551726001E-43</v>
      </c>
      <c r="F1173">
        <v>2</v>
      </c>
      <c r="G1173" t="s">
        <v>314</v>
      </c>
      <c r="H1173" t="s">
        <v>315</v>
      </c>
      <c r="I1173" t="s">
        <v>314</v>
      </c>
      <c r="J1173" s="1" t="str">
        <f>HYPERLINK("https://zfin.org/ZDB-GENE-000523-2")</f>
        <v>https://zfin.org/ZDB-GENE-000523-2</v>
      </c>
      <c r="K1173" t="s">
        <v>316</v>
      </c>
    </row>
    <row r="1174" spans="1:11" x14ac:dyDescent="0.2">
      <c r="A1174">
        <v>2.8575536293903101E-46</v>
      </c>
      <c r="B1174">
        <v>1.5570937009443599</v>
      </c>
      <c r="C1174">
        <v>0.73299999999999998</v>
      </c>
      <c r="D1174">
        <v>0.125</v>
      </c>
      <c r="E1174">
        <v>4.4243502843850099E-42</v>
      </c>
      <c r="F1174">
        <v>2</v>
      </c>
      <c r="G1174" t="s">
        <v>2117</v>
      </c>
      <c r="H1174" t="s">
        <v>2118</v>
      </c>
      <c r="I1174" t="s">
        <v>2117</v>
      </c>
      <c r="J1174" s="1" t="str">
        <f>HYPERLINK("https://zfin.org/ZDB-GENE-040426-1200")</f>
        <v>https://zfin.org/ZDB-GENE-040426-1200</v>
      </c>
      <c r="K1174" t="s">
        <v>2119</v>
      </c>
    </row>
    <row r="1175" spans="1:11" x14ac:dyDescent="0.2">
      <c r="A1175">
        <v>3.83606299990159E-46</v>
      </c>
      <c r="B1175">
        <v>0.92031396072684202</v>
      </c>
      <c r="C1175">
        <v>0.4</v>
      </c>
      <c r="D1175">
        <v>2.7E-2</v>
      </c>
      <c r="E1175">
        <v>5.93937634274764E-42</v>
      </c>
      <c r="F1175">
        <v>2</v>
      </c>
      <c r="G1175" t="s">
        <v>1024</v>
      </c>
      <c r="H1175" t="s">
        <v>1025</v>
      </c>
      <c r="I1175" t="s">
        <v>1024</v>
      </c>
      <c r="J1175" s="1" t="str">
        <f>HYPERLINK("https://zfin.org/ZDB-GENE-130531-42")</f>
        <v>https://zfin.org/ZDB-GENE-130531-42</v>
      </c>
      <c r="K1175" t="s">
        <v>1026</v>
      </c>
    </row>
    <row r="1176" spans="1:11" x14ac:dyDescent="0.2">
      <c r="A1176">
        <v>4.7311287034278801E-46</v>
      </c>
      <c r="B1176">
        <v>1.3930429689452899</v>
      </c>
      <c r="C1176">
        <v>0.76700000000000002</v>
      </c>
      <c r="D1176">
        <v>0.123</v>
      </c>
      <c r="E1176">
        <v>7.3252065715173902E-42</v>
      </c>
      <c r="F1176">
        <v>2</v>
      </c>
      <c r="G1176" t="s">
        <v>180</v>
      </c>
      <c r="H1176" t="s">
        <v>181</v>
      </c>
      <c r="I1176" t="s">
        <v>180</v>
      </c>
      <c r="J1176" s="1" t="str">
        <f>HYPERLINK("https://zfin.org/ZDB-GENE-050320-33")</f>
        <v>https://zfin.org/ZDB-GENE-050320-33</v>
      </c>
      <c r="K1176" t="s">
        <v>182</v>
      </c>
    </row>
    <row r="1177" spans="1:11" x14ac:dyDescent="0.2">
      <c r="A1177">
        <v>6.63287561452634E-46</v>
      </c>
      <c r="B1177">
        <v>0.58809312804432401</v>
      </c>
      <c r="C1177">
        <v>0.28299999999999997</v>
      </c>
      <c r="D1177">
        <v>1.0999999999999999E-2</v>
      </c>
      <c r="E1177">
        <v>1.02696813139711E-41</v>
      </c>
      <c r="F1177">
        <v>2</v>
      </c>
      <c r="G1177" t="s">
        <v>3434</v>
      </c>
      <c r="H1177" t="s">
        <v>3435</v>
      </c>
      <c r="I1177" t="s">
        <v>3434</v>
      </c>
      <c r="J1177" s="1" t="str">
        <f>HYPERLINK("https://zfin.org/ZDB-GENE-050916-2")</f>
        <v>https://zfin.org/ZDB-GENE-050916-2</v>
      </c>
      <c r="K1177" t="s">
        <v>3436</v>
      </c>
    </row>
    <row r="1178" spans="1:11" x14ac:dyDescent="0.2">
      <c r="A1178">
        <v>1.15109268437854E-45</v>
      </c>
      <c r="B1178">
        <v>0.58401980468725001</v>
      </c>
      <c r="C1178">
        <v>0.28299999999999997</v>
      </c>
      <c r="D1178">
        <v>1.0999999999999999E-2</v>
      </c>
      <c r="E1178">
        <v>1.7822368032233001E-41</v>
      </c>
      <c r="F1178">
        <v>2</v>
      </c>
      <c r="G1178" t="s">
        <v>3437</v>
      </c>
      <c r="H1178" t="s">
        <v>3438</v>
      </c>
      <c r="I1178" t="s">
        <v>3437</v>
      </c>
      <c r="J1178" s="1" t="str">
        <f>HYPERLINK("https://zfin.org/ZDB-GENE-080215-2")</f>
        <v>https://zfin.org/ZDB-GENE-080215-2</v>
      </c>
      <c r="K1178" t="s">
        <v>3439</v>
      </c>
    </row>
    <row r="1179" spans="1:11" x14ac:dyDescent="0.2">
      <c r="A1179">
        <v>1.6131628756324301E-44</v>
      </c>
      <c r="B1179">
        <v>0.58789083199627801</v>
      </c>
      <c r="C1179">
        <v>0.317</v>
      </c>
      <c r="D1179">
        <v>1.6E-2</v>
      </c>
      <c r="E1179">
        <v>2.4976600803417001E-40</v>
      </c>
      <c r="F1179">
        <v>2</v>
      </c>
      <c r="G1179" t="s">
        <v>3440</v>
      </c>
      <c r="H1179" t="s">
        <v>3441</v>
      </c>
      <c r="I1179" t="s">
        <v>3440</v>
      </c>
      <c r="J1179" s="1" t="str">
        <f>HYPERLINK("https://zfin.org/ZDB-GENE-041212-76")</f>
        <v>https://zfin.org/ZDB-GENE-041212-76</v>
      </c>
      <c r="K1179" t="s">
        <v>3442</v>
      </c>
    </row>
    <row r="1180" spans="1:11" x14ac:dyDescent="0.2">
      <c r="A1180">
        <v>3.6898349823947302E-44</v>
      </c>
      <c r="B1180">
        <v>1.0568207243243299</v>
      </c>
      <c r="C1180">
        <v>0.55000000000000004</v>
      </c>
      <c r="D1180">
        <v>6.2E-2</v>
      </c>
      <c r="E1180">
        <v>5.7129715032417503E-40</v>
      </c>
      <c r="F1180">
        <v>2</v>
      </c>
      <c r="G1180" t="s">
        <v>519</v>
      </c>
      <c r="H1180" t="s">
        <v>520</v>
      </c>
      <c r="I1180" t="s">
        <v>519</v>
      </c>
      <c r="J1180" s="1" t="str">
        <f>HYPERLINK("https://zfin.org/ZDB-GENE-030318-3")</f>
        <v>https://zfin.org/ZDB-GENE-030318-3</v>
      </c>
      <c r="K1180" t="s">
        <v>521</v>
      </c>
    </row>
    <row r="1181" spans="1:11" x14ac:dyDescent="0.2">
      <c r="A1181">
        <v>6.9590600458012097E-44</v>
      </c>
      <c r="B1181">
        <v>0.43190159424367502</v>
      </c>
      <c r="C1181">
        <v>0.183</v>
      </c>
      <c r="D1181">
        <v>3.0000000000000001E-3</v>
      </c>
      <c r="E1181">
        <v>1.0774712668914E-39</v>
      </c>
      <c r="F1181">
        <v>2</v>
      </c>
      <c r="G1181" t="s">
        <v>3443</v>
      </c>
      <c r="H1181" t="s">
        <v>3444</v>
      </c>
      <c r="I1181" t="s">
        <v>3443</v>
      </c>
      <c r="J1181" s="1" t="str">
        <f>HYPERLINK("https://zfin.org/ZDB-GENE-980526-104")</f>
        <v>https://zfin.org/ZDB-GENE-980526-104</v>
      </c>
      <c r="K1181" t="s">
        <v>3445</v>
      </c>
    </row>
    <row r="1182" spans="1:11" x14ac:dyDescent="0.2">
      <c r="A1182">
        <v>6.2928613335806898E-43</v>
      </c>
      <c r="B1182">
        <v>1.2711997250009801</v>
      </c>
      <c r="C1182">
        <v>0.56699999999999995</v>
      </c>
      <c r="D1182">
        <v>6.8000000000000005E-2</v>
      </c>
      <c r="E1182">
        <v>9.7432372027829794E-39</v>
      </c>
      <c r="F1182">
        <v>2</v>
      </c>
      <c r="G1182" t="s">
        <v>398</v>
      </c>
      <c r="H1182" t="s">
        <v>399</v>
      </c>
      <c r="I1182" t="s">
        <v>398</v>
      </c>
      <c r="J1182" s="1" t="str">
        <f>HYPERLINK("https://zfin.org/ZDB-GENE-091112-16")</f>
        <v>https://zfin.org/ZDB-GENE-091112-16</v>
      </c>
      <c r="K1182" t="s">
        <v>400</v>
      </c>
    </row>
    <row r="1183" spans="1:11" x14ac:dyDescent="0.2">
      <c r="A1183">
        <v>9.0809119163769195E-43</v>
      </c>
      <c r="B1183">
        <v>0.93577793094539996</v>
      </c>
      <c r="C1183">
        <v>0.5</v>
      </c>
      <c r="D1183">
        <v>0.05</v>
      </c>
      <c r="E1183">
        <v>1.40599759201264E-38</v>
      </c>
      <c r="F1183">
        <v>2</v>
      </c>
      <c r="G1183" t="s">
        <v>1570</v>
      </c>
      <c r="H1183" t="s">
        <v>1571</v>
      </c>
      <c r="I1183" t="s">
        <v>1570</v>
      </c>
      <c r="J1183" s="1" t="str">
        <f>HYPERLINK("https://zfin.org/ZDB-GENE-060130-108")</f>
        <v>https://zfin.org/ZDB-GENE-060130-108</v>
      </c>
      <c r="K1183" t="s">
        <v>1572</v>
      </c>
    </row>
    <row r="1184" spans="1:11" x14ac:dyDescent="0.2">
      <c r="A1184">
        <v>1.23602156304008E-42</v>
      </c>
      <c r="B1184">
        <v>0.66645322261824802</v>
      </c>
      <c r="C1184">
        <v>0.35</v>
      </c>
      <c r="D1184">
        <v>2.1999999999999999E-2</v>
      </c>
      <c r="E1184">
        <v>1.9137321860549599E-38</v>
      </c>
      <c r="F1184">
        <v>2</v>
      </c>
      <c r="G1184" t="s">
        <v>1513</v>
      </c>
      <c r="H1184" t="s">
        <v>1514</v>
      </c>
      <c r="I1184" t="s">
        <v>1513</v>
      </c>
      <c r="J1184" s="1" t="str">
        <f>HYPERLINK("https://zfin.org/ZDB-GENE-040801-126")</f>
        <v>https://zfin.org/ZDB-GENE-040801-126</v>
      </c>
      <c r="K1184" t="s">
        <v>1515</v>
      </c>
    </row>
    <row r="1185" spans="1:11" x14ac:dyDescent="0.2">
      <c r="A1185">
        <v>2.6244403084193201E-42</v>
      </c>
      <c r="B1185">
        <v>1.19020404088128</v>
      </c>
      <c r="C1185">
        <v>0.65</v>
      </c>
      <c r="D1185">
        <v>9.1999999999999998E-2</v>
      </c>
      <c r="E1185">
        <v>4.0634209295256303E-38</v>
      </c>
      <c r="F1185">
        <v>2</v>
      </c>
      <c r="G1185" t="s">
        <v>50</v>
      </c>
      <c r="H1185" t="s">
        <v>51</v>
      </c>
      <c r="I1185" t="s">
        <v>50</v>
      </c>
      <c r="J1185" s="1" t="str">
        <f>HYPERLINK("https://zfin.org/ZDB-GENE-070705-158")</f>
        <v>https://zfin.org/ZDB-GENE-070705-158</v>
      </c>
      <c r="K1185" t="s">
        <v>52</v>
      </c>
    </row>
    <row r="1186" spans="1:11" x14ac:dyDescent="0.2">
      <c r="A1186">
        <v>4.8429218894306099E-42</v>
      </c>
      <c r="B1186">
        <v>1.0027774437468699</v>
      </c>
      <c r="C1186">
        <v>0.55000000000000004</v>
      </c>
      <c r="D1186">
        <v>6.6000000000000003E-2</v>
      </c>
      <c r="E1186">
        <v>7.4982959614054197E-38</v>
      </c>
      <c r="F1186">
        <v>2</v>
      </c>
      <c r="G1186" t="s">
        <v>3446</v>
      </c>
      <c r="H1186" t="s">
        <v>3447</v>
      </c>
      <c r="I1186" t="s">
        <v>3446</v>
      </c>
      <c r="J1186" s="1" t="str">
        <f>HYPERLINK("https://zfin.org/ZDB-GENE-040426-1725")</f>
        <v>https://zfin.org/ZDB-GENE-040426-1725</v>
      </c>
      <c r="K1186" t="s">
        <v>3448</v>
      </c>
    </row>
    <row r="1187" spans="1:11" x14ac:dyDescent="0.2">
      <c r="A1187">
        <v>6.5587398710428206E-42</v>
      </c>
      <c r="B1187">
        <v>0.92164815769166397</v>
      </c>
      <c r="C1187">
        <v>0.55000000000000004</v>
      </c>
      <c r="D1187">
        <v>6.4000000000000001E-2</v>
      </c>
      <c r="E1187">
        <v>1.0154896942335599E-37</v>
      </c>
      <c r="F1187">
        <v>2</v>
      </c>
      <c r="G1187" t="s">
        <v>263</v>
      </c>
      <c r="H1187" t="s">
        <v>264</v>
      </c>
      <c r="I1187" t="s">
        <v>263</v>
      </c>
      <c r="J1187" s="1" t="str">
        <f>HYPERLINK("https://zfin.org/ZDB-GENE-041111-13")</f>
        <v>https://zfin.org/ZDB-GENE-041111-13</v>
      </c>
      <c r="K1187" t="s">
        <v>265</v>
      </c>
    </row>
    <row r="1188" spans="1:11" x14ac:dyDescent="0.2">
      <c r="A1188">
        <v>2.05540020253889E-41</v>
      </c>
      <c r="B1188">
        <v>0.74059292078245598</v>
      </c>
      <c r="C1188">
        <v>0.36699999999999999</v>
      </c>
      <c r="D1188">
        <v>2.5000000000000001E-2</v>
      </c>
      <c r="E1188">
        <v>3.1823761335909602E-37</v>
      </c>
      <c r="F1188">
        <v>2</v>
      </c>
      <c r="G1188" t="s">
        <v>1480</v>
      </c>
      <c r="H1188" t="s">
        <v>1481</v>
      </c>
      <c r="I1188" t="s">
        <v>1480</v>
      </c>
      <c r="J1188" s="1" t="str">
        <f>HYPERLINK("https://zfin.org/ZDB-GENE-090313-271")</f>
        <v>https://zfin.org/ZDB-GENE-090313-271</v>
      </c>
      <c r="K1188" t="s">
        <v>1482</v>
      </c>
    </row>
    <row r="1189" spans="1:11" x14ac:dyDescent="0.2">
      <c r="A1189">
        <v>3.6347004504507197E-41</v>
      </c>
      <c r="B1189">
        <v>1.09583451128149</v>
      </c>
      <c r="C1189">
        <v>0.45</v>
      </c>
      <c r="D1189">
        <v>4.2999999999999997E-2</v>
      </c>
      <c r="E1189">
        <v>5.6276067074328599E-37</v>
      </c>
      <c r="F1189">
        <v>2</v>
      </c>
      <c r="G1189" t="s">
        <v>450</v>
      </c>
      <c r="H1189" t="s">
        <v>451</v>
      </c>
      <c r="I1189" t="s">
        <v>450</v>
      </c>
      <c r="J1189" s="1" t="str">
        <f>HYPERLINK("https://zfin.org/ZDB-GENE-081031-7")</f>
        <v>https://zfin.org/ZDB-GENE-081031-7</v>
      </c>
      <c r="K1189" t="s">
        <v>452</v>
      </c>
    </row>
    <row r="1190" spans="1:11" x14ac:dyDescent="0.2">
      <c r="A1190">
        <v>5.2261699115077597E-41</v>
      </c>
      <c r="B1190">
        <v>1.40021941306764</v>
      </c>
      <c r="C1190">
        <v>0.71699999999999997</v>
      </c>
      <c r="D1190">
        <v>0.13100000000000001</v>
      </c>
      <c r="E1190">
        <v>8.0916788739874601E-37</v>
      </c>
      <c r="F1190">
        <v>2</v>
      </c>
      <c r="G1190" t="s">
        <v>404</v>
      </c>
      <c r="H1190" t="s">
        <v>405</v>
      </c>
      <c r="I1190" t="s">
        <v>404</v>
      </c>
      <c r="J1190" s="1" t="str">
        <f>HYPERLINK("https://zfin.org/ZDB-GENE-041212-9")</f>
        <v>https://zfin.org/ZDB-GENE-041212-9</v>
      </c>
      <c r="K1190" t="s">
        <v>406</v>
      </c>
    </row>
    <row r="1191" spans="1:11" x14ac:dyDescent="0.2">
      <c r="A1191">
        <v>6.3734455888528596E-41</v>
      </c>
      <c r="B1191">
        <v>0.47889711740213098</v>
      </c>
      <c r="C1191">
        <v>0.217</v>
      </c>
      <c r="D1191">
        <v>6.0000000000000001E-3</v>
      </c>
      <c r="E1191">
        <v>9.8680058052208805E-37</v>
      </c>
      <c r="F1191">
        <v>2</v>
      </c>
      <c r="G1191" t="s">
        <v>3449</v>
      </c>
      <c r="H1191" t="s">
        <v>3450</v>
      </c>
      <c r="I1191" t="s">
        <v>3449</v>
      </c>
      <c r="J1191" s="1" t="str">
        <f>HYPERLINK("https://zfin.org/ZDB-GENE-030131-3136")</f>
        <v>https://zfin.org/ZDB-GENE-030131-3136</v>
      </c>
      <c r="K1191" t="s">
        <v>3451</v>
      </c>
    </row>
    <row r="1192" spans="1:11" x14ac:dyDescent="0.2">
      <c r="A1192">
        <v>1.1485180612138601E-40</v>
      </c>
      <c r="B1192">
        <v>1.7486963720990301</v>
      </c>
      <c r="C1192">
        <v>0.5</v>
      </c>
      <c r="D1192">
        <v>5.2999999999999999E-2</v>
      </c>
      <c r="E1192">
        <v>1.77825051417742E-36</v>
      </c>
      <c r="F1192">
        <v>2</v>
      </c>
      <c r="G1192" t="s">
        <v>3452</v>
      </c>
      <c r="H1192" t="s">
        <v>3453</v>
      </c>
      <c r="I1192" t="s">
        <v>3452</v>
      </c>
      <c r="J1192" s="1" t="str">
        <f>HYPERLINK("https://zfin.org/ZDB-GENE-040426-2321")</f>
        <v>https://zfin.org/ZDB-GENE-040426-2321</v>
      </c>
      <c r="K1192" t="s">
        <v>3454</v>
      </c>
    </row>
    <row r="1193" spans="1:11" x14ac:dyDescent="0.2">
      <c r="A1193">
        <v>1.7233734356518399E-40</v>
      </c>
      <c r="B1193">
        <v>0.63139332549370697</v>
      </c>
      <c r="C1193">
        <v>0.35</v>
      </c>
      <c r="D1193">
        <v>2.3E-2</v>
      </c>
      <c r="E1193">
        <v>2.6682990904197399E-36</v>
      </c>
      <c r="F1193">
        <v>2</v>
      </c>
      <c r="G1193" t="s">
        <v>3455</v>
      </c>
      <c r="H1193" t="s">
        <v>3456</v>
      </c>
      <c r="I1193" t="s">
        <v>3455</v>
      </c>
      <c r="J1193" s="1" t="str">
        <f>HYPERLINK("https://zfin.org/ZDB-GENE-130530-667")</f>
        <v>https://zfin.org/ZDB-GENE-130530-667</v>
      </c>
      <c r="K1193" t="s">
        <v>3457</v>
      </c>
    </row>
    <row r="1194" spans="1:11" x14ac:dyDescent="0.2">
      <c r="A1194">
        <v>2.5343667053989502E-40</v>
      </c>
      <c r="B1194">
        <v>0.394949054771014</v>
      </c>
      <c r="C1194">
        <v>0.25</v>
      </c>
      <c r="D1194">
        <v>0.01</v>
      </c>
      <c r="E1194">
        <v>3.9239599699691999E-36</v>
      </c>
      <c r="F1194">
        <v>2</v>
      </c>
      <c r="G1194" t="s">
        <v>3458</v>
      </c>
      <c r="H1194" t="s">
        <v>3459</v>
      </c>
      <c r="I1194" t="s">
        <v>3458</v>
      </c>
      <c r="J1194" s="1" t="str">
        <f>HYPERLINK("https://zfin.org/ZDB-GENE-081113-4")</f>
        <v>https://zfin.org/ZDB-GENE-081113-4</v>
      </c>
      <c r="K1194" t="s">
        <v>3460</v>
      </c>
    </row>
    <row r="1195" spans="1:11" x14ac:dyDescent="0.2">
      <c r="A1195">
        <v>2.6008197344466601E-40</v>
      </c>
      <c r="B1195">
        <v>0.87413938917818002</v>
      </c>
      <c r="C1195">
        <v>0.38300000000000001</v>
      </c>
      <c r="D1195">
        <v>2.9000000000000001E-2</v>
      </c>
      <c r="E1195">
        <v>4.0268491948437699E-36</v>
      </c>
      <c r="F1195">
        <v>2</v>
      </c>
      <c r="G1195" t="s">
        <v>3461</v>
      </c>
      <c r="H1195" t="s">
        <v>3462</v>
      </c>
      <c r="I1195" t="s">
        <v>3461</v>
      </c>
      <c r="J1195" s="1" t="str">
        <f>HYPERLINK("https://zfin.org/ZDB-GENE-050208-34")</f>
        <v>https://zfin.org/ZDB-GENE-050208-34</v>
      </c>
      <c r="K1195" t="s">
        <v>3463</v>
      </c>
    </row>
    <row r="1196" spans="1:11" x14ac:dyDescent="0.2">
      <c r="A1196">
        <v>6.7688756641270696E-40</v>
      </c>
      <c r="B1196">
        <v>1.1217524990518</v>
      </c>
      <c r="C1196">
        <v>0.58299999999999996</v>
      </c>
      <c r="D1196">
        <v>7.9000000000000001E-2</v>
      </c>
      <c r="E1196">
        <v>1.04802501907679E-35</v>
      </c>
      <c r="F1196">
        <v>2</v>
      </c>
      <c r="G1196" t="s">
        <v>419</v>
      </c>
      <c r="H1196" t="s">
        <v>420</v>
      </c>
      <c r="I1196" t="s">
        <v>419</v>
      </c>
      <c r="J1196" s="1" t="str">
        <f>HYPERLINK("https://zfin.org/ZDB-GENE-050320-136")</f>
        <v>https://zfin.org/ZDB-GENE-050320-136</v>
      </c>
      <c r="K1196" t="s">
        <v>421</v>
      </c>
    </row>
    <row r="1197" spans="1:11" x14ac:dyDescent="0.2">
      <c r="A1197">
        <v>1.82852535059909E-39</v>
      </c>
      <c r="B1197">
        <v>1.10163021542935</v>
      </c>
      <c r="C1197">
        <v>0.71699999999999997</v>
      </c>
      <c r="D1197">
        <v>0.129</v>
      </c>
      <c r="E1197">
        <v>2.8311058003325699E-35</v>
      </c>
      <c r="F1197">
        <v>2</v>
      </c>
      <c r="G1197" t="s">
        <v>2742</v>
      </c>
      <c r="H1197" t="s">
        <v>2743</v>
      </c>
      <c r="I1197" t="s">
        <v>2742</v>
      </c>
      <c r="J1197" s="1" t="str">
        <f>HYPERLINK("https://zfin.org/ZDB-GENE-050419-195")</f>
        <v>https://zfin.org/ZDB-GENE-050419-195</v>
      </c>
      <c r="K1197" t="s">
        <v>2744</v>
      </c>
    </row>
    <row r="1198" spans="1:11" x14ac:dyDescent="0.2">
      <c r="A1198">
        <v>5.27997311526539E-39</v>
      </c>
      <c r="B1198">
        <v>0.66169188413259805</v>
      </c>
      <c r="C1198">
        <v>0.217</v>
      </c>
      <c r="D1198">
        <v>7.0000000000000001E-3</v>
      </c>
      <c r="E1198">
        <v>8.1749823743654002E-35</v>
      </c>
      <c r="F1198">
        <v>2</v>
      </c>
      <c r="G1198" t="s">
        <v>3464</v>
      </c>
      <c r="H1198" t="s">
        <v>3465</v>
      </c>
      <c r="I1198" t="s">
        <v>3464</v>
      </c>
      <c r="J1198" s="1" t="str">
        <f>HYPERLINK("https://zfin.org/ZDB-GENE-060531-140")</f>
        <v>https://zfin.org/ZDB-GENE-060531-140</v>
      </c>
      <c r="K1198" t="s">
        <v>3466</v>
      </c>
    </row>
    <row r="1199" spans="1:11" x14ac:dyDescent="0.2">
      <c r="A1199">
        <v>8.8929766555185398E-39</v>
      </c>
      <c r="B1199">
        <v>0.78037019699200905</v>
      </c>
      <c r="C1199">
        <v>0.38300000000000001</v>
      </c>
      <c r="D1199">
        <v>3.1E-2</v>
      </c>
      <c r="E1199">
        <v>1.3768995755739401E-34</v>
      </c>
      <c r="F1199">
        <v>2</v>
      </c>
      <c r="G1199" t="s">
        <v>1444</v>
      </c>
      <c r="H1199" t="s">
        <v>1445</v>
      </c>
      <c r="I1199" t="s">
        <v>1444</v>
      </c>
      <c r="J1199" s="1" t="str">
        <f>HYPERLINK("https://zfin.org/ZDB-GENE-050309-265")</f>
        <v>https://zfin.org/ZDB-GENE-050309-265</v>
      </c>
      <c r="K1199" t="s">
        <v>1446</v>
      </c>
    </row>
    <row r="1200" spans="1:11" x14ac:dyDescent="0.2">
      <c r="A1200">
        <v>1.3408802325091099E-38</v>
      </c>
      <c r="B1200">
        <v>2.7292526615960502</v>
      </c>
      <c r="C1200">
        <v>0.98299999999999998</v>
      </c>
      <c r="D1200">
        <v>0.49199999999999999</v>
      </c>
      <c r="E1200">
        <v>2.0760848639938501E-34</v>
      </c>
      <c r="F1200">
        <v>2</v>
      </c>
      <c r="G1200" t="s">
        <v>1240</v>
      </c>
      <c r="H1200" t="s">
        <v>1241</v>
      </c>
      <c r="I1200" t="s">
        <v>1240</v>
      </c>
      <c r="J1200" s="1" t="str">
        <f>HYPERLINK("https://zfin.org/ZDB-GENE-060929-568")</f>
        <v>https://zfin.org/ZDB-GENE-060929-568</v>
      </c>
      <c r="K1200" t="s">
        <v>1242</v>
      </c>
    </row>
    <row r="1201" spans="1:11" x14ac:dyDescent="0.2">
      <c r="A1201">
        <v>4.20701191956888E-38</v>
      </c>
      <c r="B1201">
        <v>0.57907651902989599</v>
      </c>
      <c r="C1201">
        <v>0.28299999999999997</v>
      </c>
      <c r="D1201">
        <v>1.4999999999999999E-2</v>
      </c>
      <c r="E1201">
        <v>6.5137165550685E-34</v>
      </c>
      <c r="F1201">
        <v>2</v>
      </c>
      <c r="G1201" t="s">
        <v>3467</v>
      </c>
      <c r="H1201" t="s">
        <v>3468</v>
      </c>
      <c r="I1201" t="s">
        <v>3467</v>
      </c>
      <c r="J1201" s="1" t="str">
        <f>HYPERLINK("https://zfin.org/ZDB-GENE-091204-186")</f>
        <v>https://zfin.org/ZDB-GENE-091204-186</v>
      </c>
      <c r="K1201" t="s">
        <v>3469</v>
      </c>
    </row>
    <row r="1202" spans="1:11" x14ac:dyDescent="0.2">
      <c r="A1202">
        <v>9.0217296304431195E-38</v>
      </c>
      <c r="B1202">
        <v>1.88829842160094</v>
      </c>
      <c r="C1202">
        <v>1</v>
      </c>
      <c r="D1202">
        <v>0.53700000000000003</v>
      </c>
      <c r="E1202">
        <v>1.3968343986815099E-33</v>
      </c>
      <c r="F1202">
        <v>2</v>
      </c>
      <c r="G1202" t="s">
        <v>740</v>
      </c>
      <c r="H1202" t="s">
        <v>741</v>
      </c>
      <c r="I1202" t="s">
        <v>740</v>
      </c>
      <c r="J1202" s="1" t="str">
        <f>HYPERLINK("https://zfin.org/ZDB-GENE-030131-8308")</f>
        <v>https://zfin.org/ZDB-GENE-030131-8308</v>
      </c>
      <c r="K1202" t="s">
        <v>742</v>
      </c>
    </row>
    <row r="1203" spans="1:11" x14ac:dyDescent="0.2">
      <c r="A1203">
        <v>1.5669937670618201E-37</v>
      </c>
      <c r="B1203">
        <v>1.4867412648237699</v>
      </c>
      <c r="C1203">
        <v>0.66700000000000004</v>
      </c>
      <c r="D1203">
        <v>0.11</v>
      </c>
      <c r="E1203">
        <v>2.4261764495418199E-33</v>
      </c>
      <c r="F1203">
        <v>2</v>
      </c>
      <c r="G1203" t="s">
        <v>48</v>
      </c>
      <c r="H1203" t="s">
        <v>49</v>
      </c>
      <c r="I1203" t="s">
        <v>48</v>
      </c>
      <c r="J1203" s="1" t="str">
        <f>HYPERLINK("https://zfin.org/")</f>
        <v>https://zfin.org/</v>
      </c>
    </row>
    <row r="1204" spans="1:11" x14ac:dyDescent="0.2">
      <c r="A1204">
        <v>2.7461743170827501E-37</v>
      </c>
      <c r="B1204">
        <v>1.2797644232008101</v>
      </c>
      <c r="C1204">
        <v>0.3</v>
      </c>
      <c r="D1204">
        <v>1.7999999999999999E-2</v>
      </c>
      <c r="E1204">
        <v>4.2519016951392298E-33</v>
      </c>
      <c r="F1204">
        <v>2</v>
      </c>
      <c r="G1204" t="s">
        <v>3470</v>
      </c>
      <c r="H1204" t="s">
        <v>3471</v>
      </c>
      <c r="I1204" t="s">
        <v>3470</v>
      </c>
      <c r="J1204" s="1" t="str">
        <f>HYPERLINK("https://zfin.org/ZDB-GENE-990415-54")</f>
        <v>https://zfin.org/ZDB-GENE-990415-54</v>
      </c>
      <c r="K1204" t="s">
        <v>3472</v>
      </c>
    </row>
    <row r="1205" spans="1:11" x14ac:dyDescent="0.2">
      <c r="A1205">
        <v>9.7622797088255196E-37</v>
      </c>
      <c r="B1205">
        <v>0.57322464802732298</v>
      </c>
      <c r="C1205">
        <v>0.25</v>
      </c>
      <c r="D1205">
        <v>1.2E-2</v>
      </c>
      <c r="E1205">
        <v>1.5114937673174599E-32</v>
      </c>
      <c r="F1205">
        <v>2</v>
      </c>
      <c r="G1205" t="s">
        <v>3473</v>
      </c>
      <c r="H1205" t="s">
        <v>3474</v>
      </c>
      <c r="I1205" t="s">
        <v>3473</v>
      </c>
      <c r="J1205" s="1" t="str">
        <f>HYPERLINK("https://zfin.org/ZDB-GENE-030131-3893")</f>
        <v>https://zfin.org/ZDB-GENE-030131-3893</v>
      </c>
      <c r="K1205" t="s">
        <v>3475</v>
      </c>
    </row>
    <row r="1206" spans="1:11" x14ac:dyDescent="0.2">
      <c r="A1206">
        <v>1.4773177366817199E-36</v>
      </c>
      <c r="B1206">
        <v>0.55771947949485801</v>
      </c>
      <c r="C1206">
        <v>0.317</v>
      </c>
      <c r="D1206">
        <v>2.1000000000000001E-2</v>
      </c>
      <c r="E1206">
        <v>2.28733105170431E-32</v>
      </c>
      <c r="F1206">
        <v>2</v>
      </c>
      <c r="G1206" t="s">
        <v>3476</v>
      </c>
      <c r="H1206" t="s">
        <v>3477</v>
      </c>
      <c r="I1206" t="s">
        <v>3476</v>
      </c>
      <c r="J1206" s="1" t="str">
        <f>HYPERLINK("https://zfin.org/ZDB-GENE-041014-359")</f>
        <v>https://zfin.org/ZDB-GENE-041014-359</v>
      </c>
      <c r="K1206" t="s">
        <v>3478</v>
      </c>
    </row>
    <row r="1207" spans="1:11" x14ac:dyDescent="0.2">
      <c r="A1207">
        <v>1.7342745141093999E-36</v>
      </c>
      <c r="B1207">
        <v>1.47887492185323</v>
      </c>
      <c r="C1207">
        <v>0.65</v>
      </c>
      <c r="D1207">
        <v>0.11</v>
      </c>
      <c r="E1207">
        <v>2.6851772301955801E-32</v>
      </c>
      <c r="F1207">
        <v>2</v>
      </c>
      <c r="G1207" t="s">
        <v>141</v>
      </c>
      <c r="H1207" t="s">
        <v>142</v>
      </c>
      <c r="I1207" t="s">
        <v>141</v>
      </c>
      <c r="J1207" s="1" t="str">
        <f>HYPERLINK("https://zfin.org/ZDB-GENE-061013-378")</f>
        <v>https://zfin.org/ZDB-GENE-061013-378</v>
      </c>
      <c r="K1207" t="s">
        <v>143</v>
      </c>
    </row>
    <row r="1208" spans="1:11" x14ac:dyDescent="0.2">
      <c r="A1208">
        <v>1.9248908870118099E-36</v>
      </c>
      <c r="B1208">
        <v>0.34343789228687499</v>
      </c>
      <c r="C1208">
        <v>0.2</v>
      </c>
      <c r="D1208">
        <v>6.0000000000000001E-3</v>
      </c>
      <c r="E1208">
        <v>2.9803085603603801E-32</v>
      </c>
      <c r="F1208">
        <v>2</v>
      </c>
      <c r="G1208" t="s">
        <v>3479</v>
      </c>
      <c r="H1208" t="s">
        <v>3480</v>
      </c>
      <c r="I1208" t="s">
        <v>3479</v>
      </c>
      <c r="J1208" s="1" t="str">
        <f>HYPERLINK("https://zfin.org/ZDB-GENE-041010-92")</f>
        <v>https://zfin.org/ZDB-GENE-041010-92</v>
      </c>
      <c r="K1208" t="s">
        <v>3481</v>
      </c>
    </row>
    <row r="1209" spans="1:11" x14ac:dyDescent="0.2">
      <c r="A1209">
        <v>5.4670083123108101E-36</v>
      </c>
      <c r="B1209">
        <v>0.84502185599753499</v>
      </c>
      <c r="C1209">
        <v>0.433</v>
      </c>
      <c r="D1209">
        <v>4.3999999999999997E-2</v>
      </c>
      <c r="E1209">
        <v>8.4645689699508204E-32</v>
      </c>
      <c r="F1209">
        <v>2</v>
      </c>
      <c r="G1209" t="s">
        <v>579</v>
      </c>
      <c r="H1209" t="s">
        <v>580</v>
      </c>
      <c r="I1209" t="s">
        <v>579</v>
      </c>
      <c r="J1209" s="1" t="str">
        <f>HYPERLINK("https://zfin.org/ZDB-GENE-050419-235")</f>
        <v>https://zfin.org/ZDB-GENE-050419-235</v>
      </c>
      <c r="K1209" t="s">
        <v>581</v>
      </c>
    </row>
    <row r="1210" spans="1:11" x14ac:dyDescent="0.2">
      <c r="A1210">
        <v>8.97788919472917E-36</v>
      </c>
      <c r="B1210">
        <v>1.2301187997763099</v>
      </c>
      <c r="C1210">
        <v>0.76700000000000002</v>
      </c>
      <c r="D1210">
        <v>0.16600000000000001</v>
      </c>
      <c r="E1210">
        <v>1.3900465840199199E-31</v>
      </c>
      <c r="F1210">
        <v>2</v>
      </c>
      <c r="G1210" t="s">
        <v>2461</v>
      </c>
      <c r="H1210" t="s">
        <v>2462</v>
      </c>
      <c r="I1210" t="s">
        <v>2461</v>
      </c>
      <c r="J1210" s="1" t="str">
        <f>HYPERLINK("https://zfin.org/ZDB-GENE-040801-250")</f>
        <v>https://zfin.org/ZDB-GENE-040801-250</v>
      </c>
      <c r="K1210" t="s">
        <v>2463</v>
      </c>
    </row>
    <row r="1211" spans="1:11" x14ac:dyDescent="0.2">
      <c r="A1211">
        <v>1.04973039784628E-35</v>
      </c>
      <c r="B1211">
        <v>0.68840838686617201</v>
      </c>
      <c r="C1211">
        <v>0.33300000000000002</v>
      </c>
      <c r="D1211">
        <v>2.5000000000000001E-2</v>
      </c>
      <c r="E1211">
        <v>1.62529757498539E-31</v>
      </c>
      <c r="F1211">
        <v>2</v>
      </c>
      <c r="G1211" t="s">
        <v>1700</v>
      </c>
      <c r="H1211" t="s">
        <v>1701</v>
      </c>
      <c r="I1211" t="s">
        <v>1700</v>
      </c>
      <c r="J1211" s="1" t="str">
        <f>HYPERLINK("https://zfin.org/ZDB-GENE-050522-307")</f>
        <v>https://zfin.org/ZDB-GENE-050522-307</v>
      </c>
      <c r="K1211" t="s">
        <v>1702</v>
      </c>
    </row>
    <row r="1212" spans="1:11" x14ac:dyDescent="0.2">
      <c r="A1212">
        <v>1.2668223145476999E-35</v>
      </c>
      <c r="B1212">
        <v>1.21418781723785</v>
      </c>
      <c r="C1212">
        <v>0.7</v>
      </c>
      <c r="D1212">
        <v>0.14000000000000001</v>
      </c>
      <c r="E1212">
        <v>1.9614209896142E-31</v>
      </c>
      <c r="F1212">
        <v>2</v>
      </c>
      <c r="G1212" t="s">
        <v>3482</v>
      </c>
      <c r="H1212" t="s">
        <v>3483</v>
      </c>
      <c r="I1212" t="s">
        <v>3482</v>
      </c>
      <c r="J1212" s="1" t="str">
        <f>HYPERLINK("https://zfin.org/ZDB-GENE-030825-2")</f>
        <v>https://zfin.org/ZDB-GENE-030825-2</v>
      </c>
      <c r="K1212" t="s">
        <v>3484</v>
      </c>
    </row>
    <row r="1213" spans="1:11" x14ac:dyDescent="0.2">
      <c r="A1213">
        <v>2.7770994590436298E-35</v>
      </c>
      <c r="B1213">
        <v>0.81324540093105901</v>
      </c>
      <c r="C1213">
        <v>0.53300000000000003</v>
      </c>
      <c r="D1213">
        <v>7.1999999999999995E-2</v>
      </c>
      <c r="E1213">
        <v>4.2997830924372503E-31</v>
      </c>
      <c r="F1213">
        <v>2</v>
      </c>
      <c r="G1213" t="s">
        <v>156</v>
      </c>
      <c r="H1213" t="s">
        <v>157</v>
      </c>
      <c r="I1213" t="s">
        <v>156</v>
      </c>
      <c r="J1213" s="1" t="str">
        <f>HYPERLINK("https://zfin.org/ZDB-GENE-030131-4127")</f>
        <v>https://zfin.org/ZDB-GENE-030131-4127</v>
      </c>
      <c r="K1213" t="s">
        <v>158</v>
      </c>
    </row>
    <row r="1214" spans="1:11" x14ac:dyDescent="0.2">
      <c r="A1214">
        <v>3.1008402737912799E-35</v>
      </c>
      <c r="B1214">
        <v>0.49429945024738298</v>
      </c>
      <c r="C1214">
        <v>0.33300000000000002</v>
      </c>
      <c r="D1214">
        <v>2.5000000000000001E-2</v>
      </c>
      <c r="E1214">
        <v>4.8010309959110296E-31</v>
      </c>
      <c r="F1214">
        <v>2</v>
      </c>
      <c r="G1214" t="s">
        <v>3485</v>
      </c>
      <c r="H1214" t="s">
        <v>3486</v>
      </c>
      <c r="I1214" t="s">
        <v>3485</v>
      </c>
      <c r="J1214" s="1" t="str">
        <f>HYPERLINK("https://zfin.org/ZDB-GENE-030804-15")</f>
        <v>https://zfin.org/ZDB-GENE-030804-15</v>
      </c>
      <c r="K1214" t="s">
        <v>3487</v>
      </c>
    </row>
    <row r="1215" spans="1:11" x14ac:dyDescent="0.2">
      <c r="A1215">
        <v>3.3410802634504402E-35</v>
      </c>
      <c r="B1215">
        <v>1.6421756227928499</v>
      </c>
      <c r="C1215">
        <v>0.93300000000000005</v>
      </c>
      <c r="D1215">
        <v>0.34</v>
      </c>
      <c r="E1215">
        <v>5.1729945719003103E-31</v>
      </c>
      <c r="F1215">
        <v>2</v>
      </c>
      <c r="G1215" t="s">
        <v>1582</v>
      </c>
      <c r="H1215" t="s">
        <v>1583</v>
      </c>
      <c r="I1215" t="s">
        <v>1582</v>
      </c>
      <c r="J1215" s="1" t="str">
        <f>HYPERLINK("https://zfin.org/ZDB-GENE-030804-3")</f>
        <v>https://zfin.org/ZDB-GENE-030804-3</v>
      </c>
      <c r="K1215" t="s">
        <v>1584</v>
      </c>
    </row>
    <row r="1216" spans="1:11" x14ac:dyDescent="0.2">
      <c r="A1216">
        <v>3.8451407674724801E-35</v>
      </c>
      <c r="B1216">
        <v>0.97005002934224804</v>
      </c>
      <c r="C1216">
        <v>0.56699999999999995</v>
      </c>
      <c r="D1216">
        <v>8.2000000000000003E-2</v>
      </c>
      <c r="E1216">
        <v>5.9534314502776404E-31</v>
      </c>
      <c r="F1216">
        <v>2</v>
      </c>
      <c r="G1216" t="s">
        <v>192</v>
      </c>
      <c r="H1216" t="s">
        <v>193</v>
      </c>
      <c r="I1216" t="s">
        <v>192</v>
      </c>
      <c r="J1216" s="1" t="str">
        <f>HYPERLINK("https://zfin.org/ZDB-GENE-141219-8")</f>
        <v>https://zfin.org/ZDB-GENE-141219-8</v>
      </c>
      <c r="K1216" t="s">
        <v>194</v>
      </c>
    </row>
    <row r="1217" spans="1:11" x14ac:dyDescent="0.2">
      <c r="A1217">
        <v>6.5808481224265001E-35</v>
      </c>
      <c r="B1217">
        <v>1.3976233041463699</v>
      </c>
      <c r="C1217">
        <v>0.65</v>
      </c>
      <c r="D1217">
        <v>0.11600000000000001</v>
      </c>
      <c r="E1217">
        <v>1.0189127147952901E-30</v>
      </c>
      <c r="F1217">
        <v>2</v>
      </c>
      <c r="G1217" t="s">
        <v>129</v>
      </c>
      <c r="H1217" t="s">
        <v>130</v>
      </c>
      <c r="I1217" t="s">
        <v>129</v>
      </c>
      <c r="J1217" s="1" t="str">
        <f>HYPERLINK("https://zfin.org/ZDB-GENE-131127-514")</f>
        <v>https://zfin.org/ZDB-GENE-131127-514</v>
      </c>
      <c r="K1217" t="s">
        <v>131</v>
      </c>
    </row>
    <row r="1218" spans="1:11" x14ac:dyDescent="0.2">
      <c r="A1218">
        <v>6.7401341038286701E-35</v>
      </c>
      <c r="B1218">
        <v>0.97333555453795595</v>
      </c>
      <c r="C1218">
        <v>0.5</v>
      </c>
      <c r="D1218">
        <v>6.2E-2</v>
      </c>
      <c r="E1218">
        <v>1.04357496329579E-30</v>
      </c>
      <c r="F1218">
        <v>2</v>
      </c>
      <c r="G1218" t="s">
        <v>501</v>
      </c>
      <c r="H1218" t="s">
        <v>502</v>
      </c>
      <c r="I1218" t="s">
        <v>501</v>
      </c>
      <c r="J1218" s="1" t="str">
        <f>HYPERLINK("https://zfin.org/ZDB-GENE-030131-7778")</f>
        <v>https://zfin.org/ZDB-GENE-030131-7778</v>
      </c>
      <c r="K1218" t="s">
        <v>503</v>
      </c>
    </row>
    <row r="1219" spans="1:11" x14ac:dyDescent="0.2">
      <c r="A1219">
        <v>1.9798422374015801E-34</v>
      </c>
      <c r="B1219">
        <v>1.49051418798873</v>
      </c>
      <c r="C1219">
        <v>0.81699999999999995</v>
      </c>
      <c r="D1219">
        <v>0.185</v>
      </c>
      <c r="E1219">
        <v>3.0653897361688701E-30</v>
      </c>
      <c r="F1219">
        <v>2</v>
      </c>
      <c r="G1219" t="s">
        <v>248</v>
      </c>
      <c r="H1219" t="s">
        <v>249</v>
      </c>
      <c r="I1219" t="s">
        <v>248</v>
      </c>
      <c r="J1219" s="1" t="str">
        <f>HYPERLINK("https://zfin.org/ZDB-GENE-110406-5")</f>
        <v>https://zfin.org/ZDB-GENE-110406-5</v>
      </c>
      <c r="K1219" t="s">
        <v>250</v>
      </c>
    </row>
    <row r="1220" spans="1:11" x14ac:dyDescent="0.2">
      <c r="A1220">
        <v>2.12068994323507E-34</v>
      </c>
      <c r="B1220">
        <v>0.65044549183904499</v>
      </c>
      <c r="C1220">
        <v>0.25</v>
      </c>
      <c r="D1220">
        <v>1.2999999999999999E-2</v>
      </c>
      <c r="E1220">
        <v>3.2834642391108599E-30</v>
      </c>
      <c r="F1220">
        <v>2</v>
      </c>
      <c r="G1220" t="s">
        <v>3488</v>
      </c>
      <c r="H1220" t="s">
        <v>3489</v>
      </c>
      <c r="I1220" t="s">
        <v>3488</v>
      </c>
      <c r="J1220" s="1" t="str">
        <f>HYPERLINK("https://zfin.org/ZDB-GENE-120206-1")</f>
        <v>https://zfin.org/ZDB-GENE-120206-1</v>
      </c>
      <c r="K1220" t="s">
        <v>3490</v>
      </c>
    </row>
    <row r="1221" spans="1:11" x14ac:dyDescent="0.2">
      <c r="A1221">
        <v>7.8976188881728994E-34</v>
      </c>
      <c r="B1221">
        <v>0.28775832648383398</v>
      </c>
      <c r="C1221">
        <v>0.183</v>
      </c>
      <c r="D1221">
        <v>5.0000000000000001E-3</v>
      </c>
      <c r="E1221">
        <v>1.22278833245581E-29</v>
      </c>
      <c r="F1221">
        <v>2</v>
      </c>
      <c r="G1221" t="s">
        <v>3491</v>
      </c>
      <c r="H1221" t="s">
        <v>3492</v>
      </c>
      <c r="I1221" t="s">
        <v>3491</v>
      </c>
      <c r="J1221" s="1" t="str">
        <f>HYPERLINK("https://zfin.org/ZDB-GENE-021220-1")</f>
        <v>https://zfin.org/ZDB-GENE-021220-1</v>
      </c>
      <c r="K1221" t="s">
        <v>3493</v>
      </c>
    </row>
    <row r="1222" spans="1:11" x14ac:dyDescent="0.2">
      <c r="A1222">
        <v>1.7950469308758001E-33</v>
      </c>
      <c r="B1222">
        <v>0.80809412759943899</v>
      </c>
      <c r="C1222">
        <v>0.4</v>
      </c>
      <c r="D1222">
        <v>0.04</v>
      </c>
      <c r="E1222">
        <v>2.7792711630749999E-29</v>
      </c>
      <c r="F1222">
        <v>2</v>
      </c>
      <c r="G1222" t="s">
        <v>3494</v>
      </c>
      <c r="H1222" t="s">
        <v>3495</v>
      </c>
      <c r="I1222" t="s">
        <v>3494</v>
      </c>
      <c r="J1222" s="1" t="str">
        <f>HYPERLINK("https://zfin.org/ZDB-GENE-040426-2848")</f>
        <v>https://zfin.org/ZDB-GENE-040426-2848</v>
      </c>
      <c r="K1222" t="s">
        <v>3496</v>
      </c>
    </row>
    <row r="1223" spans="1:11" x14ac:dyDescent="0.2">
      <c r="A1223">
        <v>3.3342135239732503E-33</v>
      </c>
      <c r="B1223">
        <v>1.2956740837927001</v>
      </c>
      <c r="C1223">
        <v>0.88300000000000001</v>
      </c>
      <c r="D1223">
        <v>0.25900000000000001</v>
      </c>
      <c r="E1223">
        <v>5.16236279916779E-29</v>
      </c>
      <c r="F1223">
        <v>2</v>
      </c>
      <c r="G1223" t="s">
        <v>480</v>
      </c>
      <c r="H1223" t="s">
        <v>481</v>
      </c>
      <c r="I1223" t="s">
        <v>480</v>
      </c>
      <c r="J1223" s="1" t="str">
        <f>HYPERLINK("https://zfin.org/ZDB-GENE-070424-267")</f>
        <v>https://zfin.org/ZDB-GENE-070424-267</v>
      </c>
      <c r="K1223" t="s">
        <v>482</v>
      </c>
    </row>
    <row r="1224" spans="1:11" x14ac:dyDescent="0.2">
      <c r="A1224">
        <v>8.9153552591888195E-33</v>
      </c>
      <c r="B1224">
        <v>0.98351623118492404</v>
      </c>
      <c r="C1224">
        <v>0.53300000000000003</v>
      </c>
      <c r="D1224">
        <v>7.5999999999999998E-2</v>
      </c>
      <c r="E1224">
        <v>1.38036445478021E-28</v>
      </c>
      <c r="F1224">
        <v>2</v>
      </c>
      <c r="G1224" t="s">
        <v>204</v>
      </c>
      <c r="H1224" t="s">
        <v>205</v>
      </c>
      <c r="I1224" t="s">
        <v>204</v>
      </c>
      <c r="J1224" s="1" t="str">
        <f>HYPERLINK("https://zfin.org/ZDB-GENE-081022-199")</f>
        <v>https://zfin.org/ZDB-GENE-081022-199</v>
      </c>
      <c r="K1224" t="s">
        <v>206</v>
      </c>
    </row>
    <row r="1225" spans="1:11" x14ac:dyDescent="0.2">
      <c r="A1225">
        <v>4.5397906151167498E-32</v>
      </c>
      <c r="B1225">
        <v>0.85475204065187804</v>
      </c>
      <c r="C1225">
        <v>0.51700000000000002</v>
      </c>
      <c r="D1225">
        <v>7.4999999999999997E-2</v>
      </c>
      <c r="E1225">
        <v>7.0289578093852598E-28</v>
      </c>
      <c r="F1225">
        <v>2</v>
      </c>
      <c r="G1225" t="s">
        <v>162</v>
      </c>
      <c r="H1225" t="s">
        <v>163</v>
      </c>
      <c r="I1225" t="s">
        <v>162</v>
      </c>
      <c r="J1225" s="1" t="str">
        <f>HYPERLINK("https://zfin.org/ZDB-GENE-040718-221")</f>
        <v>https://zfin.org/ZDB-GENE-040718-221</v>
      </c>
      <c r="K1225" t="s">
        <v>164</v>
      </c>
    </row>
    <row r="1226" spans="1:11" x14ac:dyDescent="0.2">
      <c r="A1226">
        <v>5.9148593219006704E-32</v>
      </c>
      <c r="B1226">
        <v>1.2101764618306501</v>
      </c>
      <c r="C1226">
        <v>0.9</v>
      </c>
      <c r="D1226">
        <v>0.28399999999999997</v>
      </c>
      <c r="E1226">
        <v>9.1579766880988102E-28</v>
      </c>
      <c r="F1226">
        <v>2</v>
      </c>
      <c r="G1226" t="s">
        <v>1321</v>
      </c>
      <c r="H1226" t="s">
        <v>1322</v>
      </c>
      <c r="I1226" t="s">
        <v>1321</v>
      </c>
      <c r="J1226" s="1" t="str">
        <f>HYPERLINK("https://zfin.org/ZDB-GENE-040801-218")</f>
        <v>https://zfin.org/ZDB-GENE-040801-218</v>
      </c>
      <c r="K1226" t="s">
        <v>1323</v>
      </c>
    </row>
    <row r="1227" spans="1:11" x14ac:dyDescent="0.2">
      <c r="A1227">
        <v>6.5043609349723395E-32</v>
      </c>
      <c r="B1227">
        <v>0.27603540795005599</v>
      </c>
      <c r="C1227">
        <v>0.13300000000000001</v>
      </c>
      <c r="D1227">
        <v>2E-3</v>
      </c>
      <c r="E1227">
        <v>1.00707020356177E-27</v>
      </c>
      <c r="F1227">
        <v>2</v>
      </c>
      <c r="G1227" t="s">
        <v>3497</v>
      </c>
      <c r="H1227" t="s">
        <v>3498</v>
      </c>
      <c r="I1227" t="s">
        <v>3497</v>
      </c>
      <c r="J1227" s="1" t="str">
        <f>HYPERLINK("https://zfin.org/")</f>
        <v>https://zfin.org/</v>
      </c>
    </row>
    <row r="1228" spans="1:11" x14ac:dyDescent="0.2">
      <c r="A1228">
        <v>1.3077511607333001E-31</v>
      </c>
      <c r="B1228">
        <v>0.419457097840923</v>
      </c>
      <c r="C1228">
        <v>0.16700000000000001</v>
      </c>
      <c r="D1228">
        <v>5.0000000000000001E-3</v>
      </c>
      <c r="E1228">
        <v>2.0247911221633701E-27</v>
      </c>
      <c r="F1228">
        <v>2</v>
      </c>
      <c r="G1228" t="s">
        <v>3499</v>
      </c>
      <c r="H1228" t="s">
        <v>3500</v>
      </c>
      <c r="I1228" t="s">
        <v>3499</v>
      </c>
      <c r="J1228" s="1" t="str">
        <f>HYPERLINK("https://zfin.org/ZDB-GENE-040724-121")</f>
        <v>https://zfin.org/ZDB-GENE-040724-121</v>
      </c>
      <c r="K1228" t="s">
        <v>3501</v>
      </c>
    </row>
    <row r="1229" spans="1:11" x14ac:dyDescent="0.2">
      <c r="A1229">
        <v>1.3522338719706001E-31</v>
      </c>
      <c r="B1229">
        <v>0.47623340495091299</v>
      </c>
      <c r="C1229">
        <v>0.2</v>
      </c>
      <c r="D1229">
        <v>8.0000000000000002E-3</v>
      </c>
      <c r="E1229">
        <v>2.0936637039720698E-27</v>
      </c>
      <c r="F1229">
        <v>2</v>
      </c>
      <c r="G1229" t="s">
        <v>3502</v>
      </c>
      <c r="H1229" t="s">
        <v>3503</v>
      </c>
      <c r="I1229" t="s">
        <v>3502</v>
      </c>
      <c r="J1229" s="1" t="str">
        <f>HYPERLINK("https://zfin.org/ZDB-GENE-020402-5")</f>
        <v>https://zfin.org/ZDB-GENE-020402-5</v>
      </c>
      <c r="K1229" t="s">
        <v>3504</v>
      </c>
    </row>
    <row r="1230" spans="1:11" x14ac:dyDescent="0.2">
      <c r="A1230">
        <v>3.31507144115964E-31</v>
      </c>
      <c r="B1230">
        <v>1.1842686658338</v>
      </c>
      <c r="C1230">
        <v>0.58299999999999996</v>
      </c>
      <c r="D1230">
        <v>0.10100000000000001</v>
      </c>
      <c r="E1230">
        <v>5.1327251123474803E-27</v>
      </c>
      <c r="F1230">
        <v>2</v>
      </c>
      <c r="G1230" t="s">
        <v>42</v>
      </c>
      <c r="H1230" t="s">
        <v>43</v>
      </c>
      <c r="I1230" t="s">
        <v>42</v>
      </c>
      <c r="J1230" s="1" t="str">
        <f>HYPERLINK("https://zfin.org/ZDB-GENE-070718-1")</f>
        <v>https://zfin.org/ZDB-GENE-070718-1</v>
      </c>
      <c r="K1230" t="s">
        <v>44</v>
      </c>
    </row>
    <row r="1231" spans="1:11" x14ac:dyDescent="0.2">
      <c r="A1231">
        <v>3.50929282896037E-31</v>
      </c>
      <c r="B1231">
        <v>0.62542489660659395</v>
      </c>
      <c r="C1231">
        <v>0.36699999999999999</v>
      </c>
      <c r="D1231">
        <v>3.5999999999999997E-2</v>
      </c>
      <c r="E1231">
        <v>5.4334380870793398E-27</v>
      </c>
      <c r="F1231">
        <v>2</v>
      </c>
      <c r="G1231" t="s">
        <v>1207</v>
      </c>
      <c r="H1231" t="s">
        <v>1208</v>
      </c>
      <c r="I1231" t="s">
        <v>1207</v>
      </c>
      <c r="J1231" s="1" t="str">
        <f>HYPERLINK("https://zfin.org/ZDB-GENE-030131-8100")</f>
        <v>https://zfin.org/ZDB-GENE-030131-8100</v>
      </c>
      <c r="K1231" t="s">
        <v>1209</v>
      </c>
    </row>
    <row r="1232" spans="1:11" x14ac:dyDescent="0.2">
      <c r="A1232">
        <v>3.72918713235031E-31</v>
      </c>
      <c r="B1232">
        <v>-2.1869498004745802</v>
      </c>
      <c r="C1232">
        <v>1</v>
      </c>
      <c r="D1232">
        <v>1</v>
      </c>
      <c r="E1232">
        <v>5.7739004370179897E-27</v>
      </c>
      <c r="F1232">
        <v>2</v>
      </c>
      <c r="G1232" t="s">
        <v>860</v>
      </c>
      <c r="H1232" t="s">
        <v>861</v>
      </c>
      <c r="I1232" t="s">
        <v>860</v>
      </c>
      <c r="J1232" s="1" t="str">
        <f>HYPERLINK("https://zfin.org/ZDB-GENE-080225-18")</f>
        <v>https://zfin.org/ZDB-GENE-080225-18</v>
      </c>
      <c r="K1232" t="s">
        <v>862</v>
      </c>
    </row>
    <row r="1233" spans="1:11" x14ac:dyDescent="0.2">
      <c r="A1233">
        <v>1.25684436135679E-30</v>
      </c>
      <c r="B1233">
        <v>-1.9862424736650099</v>
      </c>
      <c r="C1233">
        <v>1</v>
      </c>
      <c r="D1233">
        <v>1</v>
      </c>
      <c r="E1233">
        <v>1.9459721246887099E-26</v>
      </c>
      <c r="F1233">
        <v>2</v>
      </c>
      <c r="G1233" t="s">
        <v>863</v>
      </c>
      <c r="H1233" t="s">
        <v>864</v>
      </c>
      <c r="I1233" t="s">
        <v>863</v>
      </c>
      <c r="J1233" s="1" t="str">
        <f>HYPERLINK("https://zfin.org/ZDB-GENE-130603-61")</f>
        <v>https://zfin.org/ZDB-GENE-130603-61</v>
      </c>
      <c r="K1233" t="s">
        <v>865</v>
      </c>
    </row>
    <row r="1234" spans="1:11" x14ac:dyDescent="0.2">
      <c r="A1234">
        <v>2.8827489045468601E-30</v>
      </c>
      <c r="B1234">
        <v>0.82254432890185702</v>
      </c>
      <c r="C1234">
        <v>0.55000000000000004</v>
      </c>
      <c r="D1234">
        <v>8.7999999999999995E-2</v>
      </c>
      <c r="E1234">
        <v>4.46336012890991E-26</v>
      </c>
      <c r="F1234">
        <v>2</v>
      </c>
      <c r="G1234" t="s">
        <v>3505</v>
      </c>
      <c r="H1234" t="s">
        <v>3506</v>
      </c>
      <c r="I1234" t="s">
        <v>3505</v>
      </c>
      <c r="J1234" s="1" t="str">
        <f>HYPERLINK("https://zfin.org/ZDB-GENE-040426-2832")</f>
        <v>https://zfin.org/ZDB-GENE-040426-2832</v>
      </c>
      <c r="K1234" t="s">
        <v>3507</v>
      </c>
    </row>
    <row r="1235" spans="1:11" x14ac:dyDescent="0.2">
      <c r="A1235">
        <v>3.8311335529972897E-30</v>
      </c>
      <c r="B1235">
        <v>-1.87775659531772</v>
      </c>
      <c r="C1235">
        <v>0.91700000000000004</v>
      </c>
      <c r="D1235">
        <v>0.995</v>
      </c>
      <c r="E1235">
        <v>5.9317440801057E-26</v>
      </c>
      <c r="F1235">
        <v>2</v>
      </c>
      <c r="G1235" t="s">
        <v>854</v>
      </c>
      <c r="H1235" t="s">
        <v>855</v>
      </c>
      <c r="I1235" t="s">
        <v>854</v>
      </c>
      <c r="J1235" s="1" t="str">
        <f>HYPERLINK("https://zfin.org/ZDB-GENE-061201-9")</f>
        <v>https://zfin.org/ZDB-GENE-061201-9</v>
      </c>
      <c r="K1235" t="s">
        <v>856</v>
      </c>
    </row>
    <row r="1236" spans="1:11" x14ac:dyDescent="0.2">
      <c r="A1236">
        <v>4.5338852331634598E-30</v>
      </c>
      <c r="B1236">
        <v>0.88366616762560601</v>
      </c>
      <c r="C1236">
        <v>0.6</v>
      </c>
      <c r="D1236">
        <v>0.106</v>
      </c>
      <c r="E1236">
        <v>7.0198145065069904E-26</v>
      </c>
      <c r="F1236">
        <v>2</v>
      </c>
      <c r="G1236" t="s">
        <v>61</v>
      </c>
      <c r="H1236" t="s">
        <v>62</v>
      </c>
      <c r="I1236" t="s">
        <v>61</v>
      </c>
      <c r="J1236" s="1" t="str">
        <f>HYPERLINK("https://zfin.org/ZDB-GENE-040426-833")</f>
        <v>https://zfin.org/ZDB-GENE-040426-833</v>
      </c>
      <c r="K1236" t="s">
        <v>63</v>
      </c>
    </row>
    <row r="1237" spans="1:11" x14ac:dyDescent="0.2">
      <c r="A1237">
        <v>5.0040890656446098E-30</v>
      </c>
      <c r="B1237">
        <v>0.71362061959265199</v>
      </c>
      <c r="C1237">
        <v>0.41699999999999998</v>
      </c>
      <c r="D1237">
        <v>0.05</v>
      </c>
      <c r="E1237">
        <v>7.7478311003375504E-26</v>
      </c>
      <c r="F1237">
        <v>2</v>
      </c>
      <c r="G1237" t="s">
        <v>465</v>
      </c>
      <c r="H1237" t="s">
        <v>466</v>
      </c>
      <c r="I1237" t="s">
        <v>465</v>
      </c>
      <c r="J1237" s="1" t="str">
        <f>HYPERLINK("https://zfin.org/ZDB-GENE-060526-173")</f>
        <v>https://zfin.org/ZDB-GENE-060526-173</v>
      </c>
      <c r="K1237" t="s">
        <v>467</v>
      </c>
    </row>
    <row r="1238" spans="1:11" x14ac:dyDescent="0.2">
      <c r="A1238">
        <v>5.0894461301626902E-30</v>
      </c>
      <c r="B1238">
        <v>0.85734460838868798</v>
      </c>
      <c r="C1238">
        <v>0.7</v>
      </c>
      <c r="D1238">
        <v>0.13300000000000001</v>
      </c>
      <c r="E1238">
        <v>7.8799894433308895E-26</v>
      </c>
      <c r="F1238">
        <v>2</v>
      </c>
      <c r="G1238" t="s">
        <v>73</v>
      </c>
      <c r="H1238" t="s">
        <v>74</v>
      </c>
      <c r="I1238" t="s">
        <v>73</v>
      </c>
      <c r="J1238" s="1" t="str">
        <f>HYPERLINK("https://zfin.org/ZDB-GENE-041010-45")</f>
        <v>https://zfin.org/ZDB-GENE-041010-45</v>
      </c>
      <c r="K1238" t="s">
        <v>75</v>
      </c>
    </row>
    <row r="1239" spans="1:11" x14ac:dyDescent="0.2">
      <c r="A1239">
        <v>5.2695273426529697E-30</v>
      </c>
      <c r="B1239">
        <v>1.7336147125916901</v>
      </c>
      <c r="C1239">
        <v>0.96699999999999997</v>
      </c>
      <c r="D1239">
        <v>0.56599999999999995</v>
      </c>
      <c r="E1239">
        <v>8.1588091846295898E-26</v>
      </c>
      <c r="F1239">
        <v>2</v>
      </c>
      <c r="G1239" t="s">
        <v>758</v>
      </c>
      <c r="H1239" t="s">
        <v>759</v>
      </c>
      <c r="I1239" t="s">
        <v>758</v>
      </c>
      <c r="J1239" s="1" t="str">
        <f>HYPERLINK("https://zfin.org/ZDB-GENE-030131-2830")</f>
        <v>https://zfin.org/ZDB-GENE-030131-2830</v>
      </c>
      <c r="K1239" t="s">
        <v>760</v>
      </c>
    </row>
    <row r="1240" spans="1:11" x14ac:dyDescent="0.2">
      <c r="A1240">
        <v>6.3629842880019696E-30</v>
      </c>
      <c r="B1240">
        <v>0.92765500276969703</v>
      </c>
      <c r="C1240">
        <v>0.61699999999999999</v>
      </c>
      <c r="D1240">
        <v>0.112</v>
      </c>
      <c r="E1240">
        <v>9.8518085731134399E-26</v>
      </c>
      <c r="F1240">
        <v>2</v>
      </c>
      <c r="G1240" t="s">
        <v>3508</v>
      </c>
      <c r="H1240" t="s">
        <v>3509</v>
      </c>
      <c r="I1240" t="s">
        <v>3508</v>
      </c>
      <c r="J1240" s="1" t="str">
        <f>HYPERLINK("https://zfin.org/ZDB-GENE-030131-5561")</f>
        <v>https://zfin.org/ZDB-GENE-030131-5561</v>
      </c>
      <c r="K1240" t="s">
        <v>3510</v>
      </c>
    </row>
    <row r="1241" spans="1:11" x14ac:dyDescent="0.2">
      <c r="A1241">
        <v>7.3054487279693105E-30</v>
      </c>
      <c r="B1241">
        <v>1.3194303947777899</v>
      </c>
      <c r="C1241">
        <v>0.83299999999999996</v>
      </c>
      <c r="D1241">
        <v>0.28499999999999998</v>
      </c>
      <c r="E1241">
        <v>1.1311026265514899E-25</v>
      </c>
      <c r="F1241">
        <v>2</v>
      </c>
      <c r="G1241" t="s">
        <v>1594</v>
      </c>
      <c r="H1241" t="s">
        <v>1595</v>
      </c>
      <c r="I1241" t="s">
        <v>1594</v>
      </c>
      <c r="J1241" s="1" t="str">
        <f>HYPERLINK("https://zfin.org/ZDB-GENE-040426-1119")</f>
        <v>https://zfin.org/ZDB-GENE-040426-1119</v>
      </c>
      <c r="K1241" t="s">
        <v>1596</v>
      </c>
    </row>
    <row r="1242" spans="1:11" x14ac:dyDescent="0.2">
      <c r="A1242">
        <v>8.7480071864113394E-30</v>
      </c>
      <c r="B1242">
        <v>1.02196646771838</v>
      </c>
      <c r="C1242">
        <v>0.5</v>
      </c>
      <c r="D1242">
        <v>7.2999999999999995E-2</v>
      </c>
      <c r="E1242">
        <v>1.35445395267207E-25</v>
      </c>
      <c r="F1242">
        <v>2</v>
      </c>
      <c r="G1242" t="s">
        <v>14</v>
      </c>
      <c r="H1242" t="s">
        <v>15</v>
      </c>
      <c r="I1242" t="s">
        <v>14</v>
      </c>
      <c r="J1242" s="1" t="str">
        <f>HYPERLINK("https://zfin.org/ZDB-GENE-060526-262")</f>
        <v>https://zfin.org/ZDB-GENE-060526-262</v>
      </c>
      <c r="K1242" t="s">
        <v>16</v>
      </c>
    </row>
    <row r="1243" spans="1:11" x14ac:dyDescent="0.2">
      <c r="A1243">
        <v>1.87083137980616E-29</v>
      </c>
      <c r="B1243">
        <v>1.1028551126400301</v>
      </c>
      <c r="C1243">
        <v>0.65</v>
      </c>
      <c r="D1243">
        <v>0.129</v>
      </c>
      <c r="E1243">
        <v>2.8966082253538798E-25</v>
      </c>
      <c r="F1243">
        <v>2</v>
      </c>
      <c r="G1243" t="s">
        <v>132</v>
      </c>
      <c r="H1243" t="s">
        <v>133</v>
      </c>
      <c r="I1243" t="s">
        <v>132</v>
      </c>
      <c r="J1243" s="1" t="str">
        <f>HYPERLINK("https://zfin.org/ZDB-GENE-050522-238")</f>
        <v>https://zfin.org/ZDB-GENE-050522-238</v>
      </c>
      <c r="K1243" t="s">
        <v>134</v>
      </c>
    </row>
    <row r="1244" spans="1:11" x14ac:dyDescent="0.2">
      <c r="A1244">
        <v>2.6038087858879101E-29</v>
      </c>
      <c r="B1244">
        <v>1.01656370982607</v>
      </c>
      <c r="C1244">
        <v>0.51700000000000002</v>
      </c>
      <c r="D1244">
        <v>8.2000000000000003E-2</v>
      </c>
      <c r="E1244">
        <v>4.0314771431902499E-25</v>
      </c>
      <c r="F1244">
        <v>2</v>
      </c>
      <c r="G1244" t="s">
        <v>36</v>
      </c>
      <c r="H1244" t="s">
        <v>37</v>
      </c>
      <c r="I1244" t="s">
        <v>36</v>
      </c>
      <c r="J1244" s="1" t="str">
        <f>HYPERLINK("https://zfin.org/ZDB-GENE-050419-255")</f>
        <v>https://zfin.org/ZDB-GENE-050419-255</v>
      </c>
      <c r="K1244" t="s">
        <v>38</v>
      </c>
    </row>
    <row r="1245" spans="1:11" x14ac:dyDescent="0.2">
      <c r="A1245">
        <v>3.4074638611562002E-29</v>
      </c>
      <c r="B1245">
        <v>0.506350169224836</v>
      </c>
      <c r="C1245">
        <v>0.15</v>
      </c>
      <c r="D1245">
        <v>4.0000000000000001E-3</v>
      </c>
      <c r="E1245">
        <v>5.2757762962281503E-25</v>
      </c>
      <c r="F1245">
        <v>2</v>
      </c>
      <c r="G1245" t="s">
        <v>3511</v>
      </c>
      <c r="H1245" t="s">
        <v>3512</v>
      </c>
      <c r="I1245" t="s">
        <v>3511</v>
      </c>
      <c r="J1245" s="1" t="str">
        <f>HYPERLINK("https://zfin.org/ZDB-GENE-030721-4")</f>
        <v>https://zfin.org/ZDB-GENE-030721-4</v>
      </c>
      <c r="K1245" t="s">
        <v>3513</v>
      </c>
    </row>
    <row r="1246" spans="1:11" x14ac:dyDescent="0.2">
      <c r="A1246">
        <v>3.92342650798021E-29</v>
      </c>
      <c r="B1246">
        <v>0.39564070269632501</v>
      </c>
      <c r="C1246">
        <v>0.183</v>
      </c>
      <c r="D1246">
        <v>8.0000000000000002E-3</v>
      </c>
      <c r="E1246">
        <v>6.0746412623057604E-25</v>
      </c>
      <c r="F1246">
        <v>2</v>
      </c>
      <c r="G1246" t="s">
        <v>3514</v>
      </c>
      <c r="H1246" t="s">
        <v>3515</v>
      </c>
      <c r="I1246" t="s">
        <v>3514</v>
      </c>
      <c r="J1246" s="1" t="str">
        <f>HYPERLINK("https://zfin.org/")</f>
        <v>https://zfin.org/</v>
      </c>
      <c r="K1246" t="s">
        <v>3516</v>
      </c>
    </row>
    <row r="1247" spans="1:11" x14ac:dyDescent="0.2">
      <c r="A1247">
        <v>9.2581392696459801E-29</v>
      </c>
      <c r="B1247">
        <v>0.92888016061984402</v>
      </c>
      <c r="C1247">
        <v>0.38300000000000001</v>
      </c>
      <c r="D1247">
        <v>4.3999999999999997E-2</v>
      </c>
      <c r="E1247">
        <v>1.43343770311929E-24</v>
      </c>
      <c r="F1247">
        <v>2</v>
      </c>
      <c r="G1247" t="s">
        <v>573</v>
      </c>
      <c r="H1247" t="s">
        <v>574</v>
      </c>
      <c r="I1247" t="s">
        <v>573</v>
      </c>
      <c r="J1247" s="1" t="str">
        <f>HYPERLINK("https://zfin.org/ZDB-GENE-080722-5")</f>
        <v>https://zfin.org/ZDB-GENE-080722-5</v>
      </c>
      <c r="K1247" t="s">
        <v>575</v>
      </c>
    </row>
    <row r="1248" spans="1:11" x14ac:dyDescent="0.2">
      <c r="A1248">
        <v>1.1820835316124499E-28</v>
      </c>
      <c r="B1248">
        <v>0.40952825645683999</v>
      </c>
      <c r="C1248">
        <v>0.23300000000000001</v>
      </c>
      <c r="D1248">
        <v>1.4E-2</v>
      </c>
      <c r="E1248">
        <v>1.8302199319955602E-24</v>
      </c>
      <c r="F1248">
        <v>2</v>
      </c>
      <c r="G1248" t="s">
        <v>3517</v>
      </c>
      <c r="H1248" t="s">
        <v>3518</v>
      </c>
      <c r="I1248" t="s">
        <v>3517</v>
      </c>
      <c r="J1248" s="1" t="str">
        <f>HYPERLINK("https://zfin.org/ZDB-GENE-030131-9832")</f>
        <v>https://zfin.org/ZDB-GENE-030131-9832</v>
      </c>
      <c r="K1248" t="s">
        <v>3519</v>
      </c>
    </row>
    <row r="1249" spans="1:11" x14ac:dyDescent="0.2">
      <c r="A1249">
        <v>1.4410062651930601E-28</v>
      </c>
      <c r="B1249">
        <v>1.13770979247577</v>
      </c>
      <c r="C1249">
        <v>1</v>
      </c>
      <c r="D1249">
        <v>0.96099999999999997</v>
      </c>
      <c r="E1249">
        <v>2.2311100003984099E-24</v>
      </c>
      <c r="F1249">
        <v>2</v>
      </c>
      <c r="G1249" t="s">
        <v>3320</v>
      </c>
      <c r="H1249" t="s">
        <v>3321</v>
      </c>
      <c r="I1249" t="s">
        <v>3320</v>
      </c>
      <c r="J1249" s="1" t="str">
        <f>HYPERLINK("https://zfin.org/ZDB-GENE-030131-8681")</f>
        <v>https://zfin.org/ZDB-GENE-030131-8681</v>
      </c>
      <c r="K1249" t="s">
        <v>3322</v>
      </c>
    </row>
    <row r="1250" spans="1:11" x14ac:dyDescent="0.2">
      <c r="A1250">
        <v>1.67768901035981E-28</v>
      </c>
      <c r="B1250">
        <v>1.22734715545162</v>
      </c>
      <c r="C1250">
        <v>0.88300000000000001</v>
      </c>
      <c r="D1250">
        <v>0.34300000000000003</v>
      </c>
      <c r="E1250">
        <v>2.59756589474009E-24</v>
      </c>
      <c r="F1250">
        <v>2</v>
      </c>
      <c r="G1250" t="s">
        <v>2159</v>
      </c>
      <c r="H1250" t="s">
        <v>2160</v>
      </c>
      <c r="I1250" t="s">
        <v>2159</v>
      </c>
      <c r="J1250" s="1" t="str">
        <f>HYPERLINK("https://zfin.org/ZDB-GENE-040426-2448")</f>
        <v>https://zfin.org/ZDB-GENE-040426-2448</v>
      </c>
      <c r="K1250" t="s">
        <v>2161</v>
      </c>
    </row>
    <row r="1251" spans="1:11" x14ac:dyDescent="0.2">
      <c r="A1251">
        <v>3.4779783793136801E-28</v>
      </c>
      <c r="B1251">
        <v>0.64748730367080398</v>
      </c>
      <c r="C1251">
        <v>0.33300000000000002</v>
      </c>
      <c r="D1251">
        <v>3.4000000000000002E-2</v>
      </c>
      <c r="E1251">
        <v>5.38495392469136E-24</v>
      </c>
      <c r="F1251">
        <v>2</v>
      </c>
      <c r="G1251" t="s">
        <v>444</v>
      </c>
      <c r="H1251" t="s">
        <v>445</v>
      </c>
      <c r="I1251" t="s">
        <v>444</v>
      </c>
      <c r="J1251" s="1" t="str">
        <f>HYPERLINK("https://zfin.org/ZDB-GENE-050419-109")</f>
        <v>https://zfin.org/ZDB-GENE-050419-109</v>
      </c>
      <c r="K1251" t="s">
        <v>446</v>
      </c>
    </row>
    <row r="1252" spans="1:11" x14ac:dyDescent="0.2">
      <c r="A1252">
        <v>4.2147018781278101E-28</v>
      </c>
      <c r="B1252">
        <v>1.0841670601526701</v>
      </c>
      <c r="C1252">
        <v>0.55000000000000004</v>
      </c>
      <c r="D1252">
        <v>9.4E-2</v>
      </c>
      <c r="E1252">
        <v>6.5256229179052797E-24</v>
      </c>
      <c r="F1252">
        <v>2</v>
      </c>
      <c r="G1252" t="s">
        <v>3520</v>
      </c>
      <c r="H1252" t="s">
        <v>3521</v>
      </c>
      <c r="I1252" t="s">
        <v>3520</v>
      </c>
      <c r="J1252" s="1" t="str">
        <f>HYPERLINK("https://zfin.org/ZDB-GENE-081105-161")</f>
        <v>https://zfin.org/ZDB-GENE-081105-161</v>
      </c>
      <c r="K1252" t="s">
        <v>3522</v>
      </c>
    </row>
    <row r="1253" spans="1:11" x14ac:dyDescent="0.2">
      <c r="A1253">
        <v>4.6053076898187596E-28</v>
      </c>
      <c r="B1253">
        <v>0.47772421265308501</v>
      </c>
      <c r="C1253">
        <v>0.28299999999999997</v>
      </c>
      <c r="D1253">
        <v>2.3E-2</v>
      </c>
      <c r="E1253">
        <v>7.1303978961463898E-24</v>
      </c>
      <c r="F1253">
        <v>2</v>
      </c>
      <c r="G1253" t="s">
        <v>3523</v>
      </c>
      <c r="H1253" t="s">
        <v>3524</v>
      </c>
      <c r="I1253" t="s">
        <v>3523</v>
      </c>
      <c r="J1253" s="1" t="str">
        <f>HYPERLINK("https://zfin.org/ZDB-GENE-030822-1")</f>
        <v>https://zfin.org/ZDB-GENE-030822-1</v>
      </c>
      <c r="K1253" t="s">
        <v>3525</v>
      </c>
    </row>
    <row r="1254" spans="1:11" x14ac:dyDescent="0.2">
      <c r="A1254">
        <v>6.9426761079692596E-28</v>
      </c>
      <c r="B1254">
        <v>1.2444388128119901</v>
      </c>
      <c r="C1254">
        <v>0.86699999999999999</v>
      </c>
      <c r="D1254">
        <v>0.32200000000000001</v>
      </c>
      <c r="E1254">
        <v>1.07493454179688E-23</v>
      </c>
      <c r="F1254">
        <v>2</v>
      </c>
      <c r="G1254" t="s">
        <v>3526</v>
      </c>
      <c r="H1254" t="s">
        <v>3527</v>
      </c>
      <c r="I1254" t="s">
        <v>3526</v>
      </c>
      <c r="J1254" s="1" t="str">
        <f>HYPERLINK("https://zfin.org/")</f>
        <v>https://zfin.org/</v>
      </c>
    </row>
    <row r="1255" spans="1:11" x14ac:dyDescent="0.2">
      <c r="A1255">
        <v>7.0792722388224201E-28</v>
      </c>
      <c r="B1255">
        <v>0.46652227892807302</v>
      </c>
      <c r="C1255">
        <v>0.35</v>
      </c>
      <c r="D1255">
        <v>3.6999999999999998E-2</v>
      </c>
      <c r="E1255">
        <v>1.09608372073687E-23</v>
      </c>
      <c r="F1255">
        <v>2</v>
      </c>
      <c r="G1255" t="s">
        <v>666</v>
      </c>
      <c r="H1255" t="s">
        <v>667</v>
      </c>
      <c r="I1255" t="s">
        <v>666</v>
      </c>
      <c r="J1255" s="1" t="str">
        <f>HYPERLINK("https://zfin.org/ZDB-GENE-040704-43")</f>
        <v>https://zfin.org/ZDB-GENE-040704-43</v>
      </c>
      <c r="K1255" t="s">
        <v>668</v>
      </c>
    </row>
    <row r="1256" spans="1:11" x14ac:dyDescent="0.2">
      <c r="A1256">
        <v>8.1720577280787205E-28</v>
      </c>
      <c r="B1256">
        <v>0.83564827347146198</v>
      </c>
      <c r="C1256">
        <v>0.45</v>
      </c>
      <c r="D1256">
        <v>6.4000000000000001E-2</v>
      </c>
      <c r="E1256">
        <v>1.26527969803843E-23</v>
      </c>
      <c r="F1256">
        <v>2</v>
      </c>
      <c r="G1256" t="s">
        <v>2751</v>
      </c>
      <c r="H1256" t="s">
        <v>2752</v>
      </c>
      <c r="I1256" t="s">
        <v>2751</v>
      </c>
      <c r="J1256" s="1" t="str">
        <f>HYPERLINK("https://zfin.org/ZDB-GENE-060825-166")</f>
        <v>https://zfin.org/ZDB-GENE-060825-166</v>
      </c>
      <c r="K1256" t="s">
        <v>2753</v>
      </c>
    </row>
    <row r="1257" spans="1:11" x14ac:dyDescent="0.2">
      <c r="A1257">
        <v>1.34019161247002E-27</v>
      </c>
      <c r="B1257">
        <v>0.766571998326253</v>
      </c>
      <c r="C1257">
        <v>0.51700000000000002</v>
      </c>
      <c r="D1257">
        <v>8.5000000000000006E-2</v>
      </c>
      <c r="E1257">
        <v>2.0750186735873301E-23</v>
      </c>
      <c r="F1257">
        <v>2</v>
      </c>
      <c r="G1257" t="s">
        <v>1027</v>
      </c>
      <c r="H1257" t="s">
        <v>1028</v>
      </c>
      <c r="I1257" t="s">
        <v>1027</v>
      </c>
      <c r="J1257" s="1" t="str">
        <f>HYPERLINK("https://zfin.org/ZDB-GENE-040625-150")</f>
        <v>https://zfin.org/ZDB-GENE-040625-150</v>
      </c>
      <c r="K1257" t="s">
        <v>1029</v>
      </c>
    </row>
    <row r="1258" spans="1:11" x14ac:dyDescent="0.2">
      <c r="A1258">
        <v>1.35286204556506E-27</v>
      </c>
      <c r="B1258">
        <v>0.90116562817577495</v>
      </c>
      <c r="C1258">
        <v>0.63300000000000001</v>
      </c>
      <c r="D1258">
        <v>0.129</v>
      </c>
      <c r="E1258">
        <v>2.0946363051483801E-23</v>
      </c>
      <c r="F1258">
        <v>2</v>
      </c>
      <c r="G1258" t="s">
        <v>308</v>
      </c>
      <c r="H1258" t="s">
        <v>309</v>
      </c>
      <c r="I1258" t="s">
        <v>308</v>
      </c>
      <c r="J1258" s="1" t="str">
        <f>HYPERLINK("https://zfin.org/ZDB-GENE-030616-616")</f>
        <v>https://zfin.org/ZDB-GENE-030616-616</v>
      </c>
      <c r="K1258" t="s">
        <v>310</v>
      </c>
    </row>
    <row r="1259" spans="1:11" x14ac:dyDescent="0.2">
      <c r="A1259">
        <v>1.6673090046434101E-27</v>
      </c>
      <c r="B1259">
        <v>1.00182374654936</v>
      </c>
      <c r="C1259">
        <v>0.56699999999999995</v>
      </c>
      <c r="D1259">
        <v>0.10299999999999999</v>
      </c>
      <c r="E1259">
        <v>2.58149453188938E-23</v>
      </c>
      <c r="F1259">
        <v>2</v>
      </c>
      <c r="G1259" t="s">
        <v>3528</v>
      </c>
      <c r="H1259" t="s">
        <v>3529</v>
      </c>
      <c r="I1259" t="s">
        <v>3528</v>
      </c>
      <c r="J1259" s="1" t="str">
        <f>HYPERLINK("https://zfin.org/ZDB-GENE-040724-166")</f>
        <v>https://zfin.org/ZDB-GENE-040724-166</v>
      </c>
      <c r="K1259" t="s">
        <v>3530</v>
      </c>
    </row>
    <row r="1260" spans="1:11" x14ac:dyDescent="0.2">
      <c r="A1260">
        <v>2.3897675995197501E-27</v>
      </c>
      <c r="B1260">
        <v>0.493665317661862</v>
      </c>
      <c r="C1260">
        <v>0.3</v>
      </c>
      <c r="D1260">
        <v>2.8000000000000001E-2</v>
      </c>
      <c r="E1260">
        <v>3.7000771743364298E-23</v>
      </c>
      <c r="F1260">
        <v>2</v>
      </c>
      <c r="G1260" t="s">
        <v>1934</v>
      </c>
      <c r="H1260" t="s">
        <v>1935</v>
      </c>
      <c r="I1260" t="s">
        <v>1934</v>
      </c>
      <c r="J1260" s="1" t="str">
        <f>HYPERLINK("https://zfin.org/ZDB-GENE-061215-15")</f>
        <v>https://zfin.org/ZDB-GENE-061215-15</v>
      </c>
      <c r="K1260" t="s">
        <v>1936</v>
      </c>
    </row>
    <row r="1261" spans="1:11" x14ac:dyDescent="0.2">
      <c r="A1261">
        <v>2.7564135860053801E-27</v>
      </c>
      <c r="B1261">
        <v>0.67706595805710901</v>
      </c>
      <c r="C1261">
        <v>0.433</v>
      </c>
      <c r="D1261">
        <v>0.06</v>
      </c>
      <c r="E1261">
        <v>4.2677551552121303E-23</v>
      </c>
      <c r="F1261">
        <v>2</v>
      </c>
      <c r="G1261" t="s">
        <v>1300</v>
      </c>
      <c r="H1261" t="s">
        <v>1301</v>
      </c>
      <c r="I1261" t="s">
        <v>1300</v>
      </c>
      <c r="J1261" s="1" t="str">
        <f>HYPERLINK("https://zfin.org/ZDB-GENE-040426-1446")</f>
        <v>https://zfin.org/ZDB-GENE-040426-1446</v>
      </c>
      <c r="K1261" t="s">
        <v>1302</v>
      </c>
    </row>
    <row r="1262" spans="1:11" x14ac:dyDescent="0.2">
      <c r="A1262">
        <v>2.7629203000623102E-27</v>
      </c>
      <c r="B1262">
        <v>0.45663926043989</v>
      </c>
      <c r="C1262">
        <v>0.26700000000000002</v>
      </c>
      <c r="D1262">
        <v>2.1000000000000001E-2</v>
      </c>
      <c r="E1262">
        <v>4.2778295005864802E-23</v>
      </c>
      <c r="F1262">
        <v>2</v>
      </c>
      <c r="G1262" t="s">
        <v>3531</v>
      </c>
      <c r="H1262" t="s">
        <v>3532</v>
      </c>
      <c r="I1262" t="s">
        <v>3531</v>
      </c>
      <c r="J1262" s="1" t="str">
        <f>HYPERLINK("https://zfin.org/ZDB-GENE-050208-501")</f>
        <v>https://zfin.org/ZDB-GENE-050208-501</v>
      </c>
      <c r="K1262" t="s">
        <v>3533</v>
      </c>
    </row>
    <row r="1263" spans="1:11" x14ac:dyDescent="0.2">
      <c r="A1263">
        <v>4.1832779499150798E-27</v>
      </c>
      <c r="B1263">
        <v>0.90081217623016197</v>
      </c>
      <c r="C1263">
        <v>0.38300000000000001</v>
      </c>
      <c r="D1263">
        <v>4.5999999999999999E-2</v>
      </c>
      <c r="E1263">
        <v>6.4769692498535099E-23</v>
      </c>
      <c r="F1263">
        <v>2</v>
      </c>
      <c r="G1263" t="s">
        <v>3534</v>
      </c>
      <c r="H1263" t="s">
        <v>3535</v>
      </c>
      <c r="I1263" t="s">
        <v>3534</v>
      </c>
      <c r="J1263" s="1" t="str">
        <f>HYPERLINK("https://zfin.org/ZDB-GENE-990415-47")</f>
        <v>https://zfin.org/ZDB-GENE-990415-47</v>
      </c>
      <c r="K1263" t="s">
        <v>3536</v>
      </c>
    </row>
    <row r="1264" spans="1:11" x14ac:dyDescent="0.2">
      <c r="A1264">
        <v>5.5351418533660499E-27</v>
      </c>
      <c r="B1264">
        <v>0.29310009631367301</v>
      </c>
      <c r="C1264">
        <v>0.11700000000000001</v>
      </c>
      <c r="D1264">
        <v>2E-3</v>
      </c>
      <c r="E1264">
        <v>8.5700601315666495E-23</v>
      </c>
      <c r="F1264">
        <v>2</v>
      </c>
      <c r="G1264" t="s">
        <v>3537</v>
      </c>
      <c r="H1264" t="s">
        <v>3538</v>
      </c>
      <c r="I1264" t="s">
        <v>3537</v>
      </c>
      <c r="J1264" s="1" t="str">
        <f>HYPERLINK("https://zfin.org/ZDB-GENE-031002-18")</f>
        <v>https://zfin.org/ZDB-GENE-031002-18</v>
      </c>
      <c r="K1264" t="s">
        <v>3539</v>
      </c>
    </row>
    <row r="1265" spans="1:11" x14ac:dyDescent="0.2">
      <c r="A1265">
        <v>6.4626490987269202E-27</v>
      </c>
      <c r="B1265">
        <v>0.490786092205449</v>
      </c>
      <c r="C1265">
        <v>0.26700000000000002</v>
      </c>
      <c r="D1265">
        <v>2.1000000000000001E-2</v>
      </c>
      <c r="E1265">
        <v>1.00061195995589E-22</v>
      </c>
      <c r="F1265">
        <v>2</v>
      </c>
      <c r="G1265" t="s">
        <v>3540</v>
      </c>
      <c r="H1265" t="s">
        <v>3541</v>
      </c>
      <c r="I1265" t="s">
        <v>3540</v>
      </c>
      <c r="J1265" s="1" t="str">
        <f>HYPERLINK("https://zfin.org/")</f>
        <v>https://zfin.org/</v>
      </c>
      <c r="K1265" t="s">
        <v>3542</v>
      </c>
    </row>
    <row r="1266" spans="1:11" x14ac:dyDescent="0.2">
      <c r="A1266">
        <v>8.1069748246708E-27</v>
      </c>
      <c r="B1266">
        <v>0.829928930110716</v>
      </c>
      <c r="C1266">
        <v>0.41699999999999998</v>
      </c>
      <c r="D1266">
        <v>5.6000000000000001E-2</v>
      </c>
      <c r="E1266">
        <v>1.2552029121037801E-22</v>
      </c>
      <c r="F1266">
        <v>2</v>
      </c>
      <c r="G1266" t="s">
        <v>407</v>
      </c>
      <c r="H1266" t="s">
        <v>408</v>
      </c>
      <c r="I1266" t="s">
        <v>407</v>
      </c>
      <c r="J1266" s="1" t="str">
        <f>HYPERLINK("https://zfin.org/ZDB-GENE-081104-457")</f>
        <v>https://zfin.org/ZDB-GENE-081104-457</v>
      </c>
      <c r="K1266" t="s">
        <v>409</v>
      </c>
    </row>
    <row r="1267" spans="1:11" x14ac:dyDescent="0.2">
      <c r="A1267">
        <v>1.3285236258919999E-26</v>
      </c>
      <c r="B1267">
        <v>0.94884806101749197</v>
      </c>
      <c r="C1267">
        <v>0.56699999999999995</v>
      </c>
      <c r="D1267">
        <v>0.10100000000000001</v>
      </c>
      <c r="E1267">
        <v>2.0569531299685801E-22</v>
      </c>
      <c r="F1267">
        <v>2</v>
      </c>
      <c r="G1267" t="s">
        <v>33</v>
      </c>
      <c r="H1267" t="s">
        <v>34</v>
      </c>
      <c r="I1267" t="s">
        <v>33</v>
      </c>
      <c r="J1267" s="1" t="str">
        <f>HYPERLINK("https://zfin.org/ZDB-GENE-050413-1")</f>
        <v>https://zfin.org/ZDB-GENE-050413-1</v>
      </c>
      <c r="K1267" t="s">
        <v>35</v>
      </c>
    </row>
    <row r="1268" spans="1:11" x14ac:dyDescent="0.2">
      <c r="A1268">
        <v>1.7145908967529699E-26</v>
      </c>
      <c r="B1268">
        <v>0.47134483885742301</v>
      </c>
      <c r="C1268">
        <v>0.183</v>
      </c>
      <c r="D1268">
        <v>8.9999999999999993E-3</v>
      </c>
      <c r="E1268">
        <v>2.6547010854426298E-22</v>
      </c>
      <c r="F1268">
        <v>2</v>
      </c>
      <c r="G1268" t="s">
        <v>3543</v>
      </c>
      <c r="H1268" t="s">
        <v>3544</v>
      </c>
      <c r="I1268" t="s">
        <v>3543</v>
      </c>
      <c r="J1268" s="1" t="str">
        <f>HYPERLINK("https://zfin.org/ZDB-GENE-001030-4")</f>
        <v>https://zfin.org/ZDB-GENE-001030-4</v>
      </c>
      <c r="K1268" t="s">
        <v>3545</v>
      </c>
    </row>
    <row r="1269" spans="1:11" x14ac:dyDescent="0.2">
      <c r="A1269">
        <v>2.6535510850371401E-26</v>
      </c>
      <c r="B1269">
        <v>0.74500082287291403</v>
      </c>
      <c r="C1269">
        <v>0.433</v>
      </c>
      <c r="D1269">
        <v>6.2E-2</v>
      </c>
      <c r="E1269">
        <v>4.108493144963E-22</v>
      </c>
      <c r="F1269">
        <v>2</v>
      </c>
      <c r="G1269" t="s">
        <v>540</v>
      </c>
      <c r="H1269" t="s">
        <v>541</v>
      </c>
      <c r="I1269" t="s">
        <v>540</v>
      </c>
      <c r="J1269" s="1" t="str">
        <f>HYPERLINK("https://zfin.org/ZDB-GENE-030131-7291")</f>
        <v>https://zfin.org/ZDB-GENE-030131-7291</v>
      </c>
      <c r="K1269" t="s">
        <v>542</v>
      </c>
    </row>
    <row r="1270" spans="1:11" x14ac:dyDescent="0.2">
      <c r="A1270">
        <v>2.7336070820078901E-26</v>
      </c>
      <c r="B1270">
        <v>-1.17912626546041</v>
      </c>
      <c r="C1270">
        <v>1</v>
      </c>
      <c r="D1270">
        <v>1</v>
      </c>
      <c r="E1270">
        <v>4.2324438450728101E-22</v>
      </c>
      <c r="F1270">
        <v>2</v>
      </c>
      <c r="G1270" t="s">
        <v>1015</v>
      </c>
      <c r="H1270" t="s">
        <v>1016</v>
      </c>
      <c r="I1270" t="s">
        <v>1015</v>
      </c>
      <c r="J1270" s="1" t="str">
        <f>HYPERLINK("https://zfin.org/ZDB-GENE-141216-248")</f>
        <v>https://zfin.org/ZDB-GENE-141216-248</v>
      </c>
      <c r="K1270" t="s">
        <v>1017</v>
      </c>
    </row>
    <row r="1271" spans="1:11" x14ac:dyDescent="0.2">
      <c r="A1271">
        <v>2.8412635390553902E-26</v>
      </c>
      <c r="B1271">
        <v>0.581515905559018</v>
      </c>
      <c r="C1271">
        <v>0.45</v>
      </c>
      <c r="D1271">
        <v>6.5000000000000002E-2</v>
      </c>
      <c r="E1271">
        <v>4.3991283375194604E-22</v>
      </c>
      <c r="F1271">
        <v>2</v>
      </c>
      <c r="G1271" t="s">
        <v>3546</v>
      </c>
      <c r="H1271" t="s">
        <v>3547</v>
      </c>
      <c r="I1271" t="s">
        <v>3546</v>
      </c>
      <c r="J1271" s="1" t="str">
        <f>HYPERLINK("https://zfin.org/ZDB-GENE-070912-181")</f>
        <v>https://zfin.org/ZDB-GENE-070912-181</v>
      </c>
      <c r="K1271" t="s">
        <v>3548</v>
      </c>
    </row>
    <row r="1272" spans="1:11" x14ac:dyDescent="0.2">
      <c r="A1272">
        <v>3.6659055440285202E-26</v>
      </c>
      <c r="B1272">
        <v>0.67656888324702602</v>
      </c>
      <c r="C1272">
        <v>0.5</v>
      </c>
      <c r="D1272">
        <v>8.4000000000000005E-2</v>
      </c>
      <c r="E1272">
        <v>5.6759215538193603E-22</v>
      </c>
      <c r="F1272">
        <v>2</v>
      </c>
      <c r="G1272" t="s">
        <v>815</v>
      </c>
      <c r="H1272" t="s">
        <v>816</v>
      </c>
      <c r="I1272" t="s">
        <v>815</v>
      </c>
      <c r="J1272" s="1" t="str">
        <f>HYPERLINK("https://zfin.org/ZDB-GENE-040930-8")</f>
        <v>https://zfin.org/ZDB-GENE-040930-8</v>
      </c>
      <c r="K1272" t="s">
        <v>817</v>
      </c>
    </row>
    <row r="1273" spans="1:11" x14ac:dyDescent="0.2">
      <c r="A1273">
        <v>3.9646445296667701E-26</v>
      </c>
      <c r="B1273">
        <v>0.544213718113427</v>
      </c>
      <c r="C1273">
        <v>0.317</v>
      </c>
      <c r="D1273">
        <v>3.3000000000000002E-2</v>
      </c>
      <c r="E1273">
        <v>6.1384591252830499E-22</v>
      </c>
      <c r="F1273">
        <v>2</v>
      </c>
      <c r="G1273" t="s">
        <v>1006</v>
      </c>
      <c r="H1273" t="s">
        <v>1007</v>
      </c>
      <c r="I1273" t="s">
        <v>1006</v>
      </c>
      <c r="J1273" s="1" t="str">
        <f>HYPERLINK("https://zfin.org/ZDB-GENE-030131-5409")</f>
        <v>https://zfin.org/ZDB-GENE-030131-5409</v>
      </c>
      <c r="K1273" t="s">
        <v>1008</v>
      </c>
    </row>
    <row r="1274" spans="1:11" x14ac:dyDescent="0.2">
      <c r="A1274">
        <v>5.6667962897625701E-26</v>
      </c>
      <c r="B1274">
        <v>0.70121282843686095</v>
      </c>
      <c r="C1274">
        <v>0.41699999999999998</v>
      </c>
      <c r="D1274">
        <v>0.06</v>
      </c>
      <c r="E1274">
        <v>8.77390069543939E-22</v>
      </c>
      <c r="F1274">
        <v>2</v>
      </c>
      <c r="G1274" t="s">
        <v>171</v>
      </c>
      <c r="H1274" t="s">
        <v>172</v>
      </c>
      <c r="I1274" t="s">
        <v>171</v>
      </c>
      <c r="J1274" s="1" t="str">
        <f>HYPERLINK("https://zfin.org/ZDB-GENE-041014-39")</f>
        <v>https://zfin.org/ZDB-GENE-041014-39</v>
      </c>
      <c r="K1274" t="s">
        <v>173</v>
      </c>
    </row>
    <row r="1275" spans="1:11" x14ac:dyDescent="0.2">
      <c r="A1275">
        <v>8.5118711329148404E-26</v>
      </c>
      <c r="B1275">
        <v>0.74643486790047997</v>
      </c>
      <c r="C1275">
        <v>0.41699999999999998</v>
      </c>
      <c r="D1275">
        <v>5.8999999999999997E-2</v>
      </c>
      <c r="E1275">
        <v>1.3178930075092E-21</v>
      </c>
      <c r="F1275">
        <v>2</v>
      </c>
      <c r="G1275" t="s">
        <v>317</v>
      </c>
      <c r="H1275" t="s">
        <v>318</v>
      </c>
      <c r="I1275" t="s">
        <v>317</v>
      </c>
      <c r="J1275" s="1" t="str">
        <f>HYPERLINK("https://zfin.org/")</f>
        <v>https://zfin.org/</v>
      </c>
    </row>
    <row r="1276" spans="1:11" x14ac:dyDescent="0.2">
      <c r="A1276">
        <v>9.1331204988890303E-26</v>
      </c>
      <c r="B1276">
        <v>-1.70939809942332</v>
      </c>
      <c r="C1276">
        <v>0.76700000000000002</v>
      </c>
      <c r="D1276">
        <v>0.94499999999999995</v>
      </c>
      <c r="E1276">
        <v>1.4140810468429899E-21</v>
      </c>
      <c r="F1276">
        <v>2</v>
      </c>
      <c r="G1276" t="s">
        <v>1438</v>
      </c>
      <c r="H1276" t="s">
        <v>1439</v>
      </c>
      <c r="I1276" t="s">
        <v>1438</v>
      </c>
      <c r="J1276" s="1" t="str">
        <f>HYPERLINK("https://zfin.org/ZDB-GENE-030131-1819")</f>
        <v>https://zfin.org/ZDB-GENE-030131-1819</v>
      </c>
      <c r="K1276" t="s">
        <v>1440</v>
      </c>
    </row>
    <row r="1277" spans="1:11" x14ac:dyDescent="0.2">
      <c r="A1277">
        <v>9.2498243422167997E-26</v>
      </c>
      <c r="B1277">
        <v>0.76227256829786105</v>
      </c>
      <c r="C1277">
        <v>0.433</v>
      </c>
      <c r="D1277">
        <v>6.2E-2</v>
      </c>
      <c r="E1277">
        <v>1.4321503029054301E-21</v>
      </c>
      <c r="F1277">
        <v>2</v>
      </c>
      <c r="G1277" t="s">
        <v>3549</v>
      </c>
      <c r="H1277" t="s">
        <v>3550</v>
      </c>
      <c r="I1277" t="s">
        <v>3549</v>
      </c>
      <c r="J1277" s="1" t="str">
        <f>HYPERLINK("https://zfin.org/ZDB-GENE-031030-12")</f>
        <v>https://zfin.org/ZDB-GENE-031030-12</v>
      </c>
      <c r="K1277" t="s">
        <v>3551</v>
      </c>
    </row>
    <row r="1278" spans="1:11" x14ac:dyDescent="0.2">
      <c r="A1278">
        <v>9.7300370436084897E-26</v>
      </c>
      <c r="B1278">
        <v>0.82448257545662296</v>
      </c>
      <c r="C1278">
        <v>0.58299999999999996</v>
      </c>
      <c r="D1278">
        <v>0.115</v>
      </c>
      <c r="E1278">
        <v>1.5065016354619E-21</v>
      </c>
      <c r="F1278">
        <v>2</v>
      </c>
      <c r="G1278" t="s">
        <v>2760</v>
      </c>
      <c r="H1278" t="s">
        <v>2761</v>
      </c>
      <c r="I1278" t="s">
        <v>2760</v>
      </c>
      <c r="J1278" s="1" t="str">
        <f>HYPERLINK("https://zfin.org/ZDB-GENE-030131-5299")</f>
        <v>https://zfin.org/ZDB-GENE-030131-5299</v>
      </c>
      <c r="K1278" t="s">
        <v>2762</v>
      </c>
    </row>
    <row r="1279" spans="1:11" x14ac:dyDescent="0.2">
      <c r="A1279">
        <v>1.01672672691426E-25</v>
      </c>
      <c r="B1279">
        <v>0.53927836382886696</v>
      </c>
      <c r="C1279">
        <v>0.35</v>
      </c>
      <c r="D1279">
        <v>0.04</v>
      </c>
      <c r="E1279">
        <v>1.5741979912813499E-21</v>
      </c>
      <c r="F1279">
        <v>2</v>
      </c>
      <c r="G1279" t="s">
        <v>782</v>
      </c>
      <c r="H1279" t="s">
        <v>783</v>
      </c>
      <c r="I1279" t="s">
        <v>782</v>
      </c>
      <c r="J1279" s="1" t="str">
        <f>HYPERLINK("https://zfin.org/ZDB-GENE-040704-53")</f>
        <v>https://zfin.org/ZDB-GENE-040704-53</v>
      </c>
      <c r="K1279" t="s">
        <v>784</v>
      </c>
    </row>
    <row r="1280" spans="1:11" x14ac:dyDescent="0.2">
      <c r="A1280">
        <v>1.19623653787456E-25</v>
      </c>
      <c r="B1280">
        <v>-2.0362090265448698</v>
      </c>
      <c r="C1280">
        <v>0.33300000000000002</v>
      </c>
      <c r="D1280">
        <v>0.873</v>
      </c>
      <c r="E1280">
        <v>1.85213303159118E-21</v>
      </c>
      <c r="F1280">
        <v>2</v>
      </c>
      <c r="G1280" t="s">
        <v>1222</v>
      </c>
      <c r="H1280" t="s">
        <v>1223</v>
      </c>
      <c r="I1280" t="s">
        <v>1222</v>
      </c>
      <c r="J1280" s="1" t="str">
        <f>HYPERLINK("https://zfin.org/ZDB-GENE-060316-3")</f>
        <v>https://zfin.org/ZDB-GENE-060316-3</v>
      </c>
      <c r="K1280" t="s">
        <v>1224</v>
      </c>
    </row>
    <row r="1281" spans="1:11" x14ac:dyDescent="0.2">
      <c r="A1281">
        <v>1.4875553797877499E-25</v>
      </c>
      <c r="B1281">
        <v>0.32545680911879898</v>
      </c>
      <c r="C1281">
        <v>0.15</v>
      </c>
      <c r="D1281">
        <v>5.0000000000000001E-3</v>
      </c>
      <c r="E1281">
        <v>2.3031819945253699E-21</v>
      </c>
      <c r="F1281">
        <v>2</v>
      </c>
      <c r="G1281" t="s">
        <v>3552</v>
      </c>
      <c r="H1281" t="s">
        <v>3553</v>
      </c>
      <c r="I1281" t="s">
        <v>3552</v>
      </c>
      <c r="J1281" s="1" t="str">
        <f>HYPERLINK("https://zfin.org/ZDB-GENE-120709-30")</f>
        <v>https://zfin.org/ZDB-GENE-120709-30</v>
      </c>
      <c r="K1281" t="s">
        <v>3554</v>
      </c>
    </row>
    <row r="1282" spans="1:11" x14ac:dyDescent="0.2">
      <c r="A1282">
        <v>1.63825344948728E-25</v>
      </c>
      <c r="B1282">
        <v>-2.1347229467956601</v>
      </c>
      <c r="C1282">
        <v>0.55000000000000004</v>
      </c>
      <c r="D1282">
        <v>0.90800000000000003</v>
      </c>
      <c r="E1282">
        <v>2.5365078158411599E-21</v>
      </c>
      <c r="F1282">
        <v>2</v>
      </c>
      <c r="G1282" t="s">
        <v>1237</v>
      </c>
      <c r="H1282" t="s">
        <v>1238</v>
      </c>
      <c r="I1282" t="s">
        <v>1237</v>
      </c>
      <c r="J1282" s="1" t="str">
        <f>HYPERLINK("https://zfin.org/ZDB-GENE-030131-3532")</f>
        <v>https://zfin.org/ZDB-GENE-030131-3532</v>
      </c>
      <c r="K1282" t="s">
        <v>1239</v>
      </c>
    </row>
    <row r="1283" spans="1:11" x14ac:dyDescent="0.2">
      <c r="A1283">
        <v>1.9283659387253001E-25</v>
      </c>
      <c r="B1283">
        <v>1.1996957544295199</v>
      </c>
      <c r="C1283">
        <v>0.91700000000000004</v>
      </c>
      <c r="D1283">
        <v>0.48899999999999999</v>
      </c>
      <c r="E1283">
        <v>2.98568898292838E-21</v>
      </c>
      <c r="F1283">
        <v>2</v>
      </c>
      <c r="G1283" t="s">
        <v>3555</v>
      </c>
      <c r="H1283" t="s">
        <v>3556</v>
      </c>
      <c r="I1283" t="s">
        <v>3555</v>
      </c>
      <c r="J1283" s="1" t="str">
        <f>HYPERLINK("https://zfin.org/ZDB-GENE-001208-4")</f>
        <v>https://zfin.org/ZDB-GENE-001208-4</v>
      </c>
      <c r="K1283" t="s">
        <v>3557</v>
      </c>
    </row>
    <row r="1284" spans="1:11" x14ac:dyDescent="0.2">
      <c r="A1284">
        <v>1.93434642117474E-25</v>
      </c>
      <c r="B1284">
        <v>-1.5102687288714101</v>
      </c>
      <c r="C1284">
        <v>0.95</v>
      </c>
      <c r="D1284">
        <v>0.99199999999999999</v>
      </c>
      <c r="E1284">
        <v>2.99494856390484E-21</v>
      </c>
      <c r="F1284">
        <v>2</v>
      </c>
      <c r="G1284" t="s">
        <v>821</v>
      </c>
      <c r="H1284" t="s">
        <v>822</v>
      </c>
      <c r="I1284" t="s">
        <v>821</v>
      </c>
      <c r="J1284" s="1" t="str">
        <f>HYPERLINK("https://zfin.org/ZDB-GENE-010328-2")</f>
        <v>https://zfin.org/ZDB-GENE-010328-2</v>
      </c>
      <c r="K1284" t="s">
        <v>823</v>
      </c>
    </row>
    <row r="1285" spans="1:11" x14ac:dyDescent="0.2">
      <c r="A1285">
        <v>2.3261253694507099E-25</v>
      </c>
      <c r="B1285">
        <v>0.62395574950340404</v>
      </c>
      <c r="C1285">
        <v>0.36699999999999999</v>
      </c>
      <c r="D1285">
        <v>4.5999999999999999E-2</v>
      </c>
      <c r="E1285">
        <v>3.6015399095205297E-21</v>
      </c>
      <c r="F1285">
        <v>2</v>
      </c>
      <c r="G1285" t="s">
        <v>474</v>
      </c>
      <c r="H1285" t="s">
        <v>475</v>
      </c>
      <c r="I1285" t="s">
        <v>474</v>
      </c>
      <c r="J1285" s="1" t="str">
        <f>HYPERLINK("https://zfin.org/ZDB-GENE-040426-1711")</f>
        <v>https://zfin.org/ZDB-GENE-040426-1711</v>
      </c>
      <c r="K1285" t="s">
        <v>476</v>
      </c>
    </row>
    <row r="1286" spans="1:11" x14ac:dyDescent="0.2">
      <c r="A1286">
        <v>2.9826155520761302E-25</v>
      </c>
      <c r="B1286">
        <v>0.66414789037597</v>
      </c>
      <c r="C1286">
        <v>0.36699999999999999</v>
      </c>
      <c r="D1286">
        <v>4.7E-2</v>
      </c>
      <c r="E1286">
        <v>4.61798365927948E-21</v>
      </c>
      <c r="F1286">
        <v>2</v>
      </c>
      <c r="G1286" t="s">
        <v>486</v>
      </c>
      <c r="H1286" t="s">
        <v>487</v>
      </c>
      <c r="I1286" t="s">
        <v>486</v>
      </c>
      <c r="J1286" s="1" t="str">
        <f>HYPERLINK("https://zfin.org/ZDB-GENE-120215-146")</f>
        <v>https://zfin.org/ZDB-GENE-120215-146</v>
      </c>
      <c r="K1286" t="s">
        <v>488</v>
      </c>
    </row>
    <row r="1287" spans="1:11" x14ac:dyDescent="0.2">
      <c r="A1287">
        <v>3.46192986466596E-25</v>
      </c>
      <c r="B1287">
        <v>-2.0218113370383799</v>
      </c>
      <c r="C1287">
        <v>0.45</v>
      </c>
      <c r="D1287">
        <v>0.88800000000000001</v>
      </c>
      <c r="E1287">
        <v>5.3601060094623103E-21</v>
      </c>
      <c r="F1287">
        <v>2</v>
      </c>
      <c r="G1287" t="s">
        <v>1450</v>
      </c>
      <c r="H1287" t="s">
        <v>1451</v>
      </c>
      <c r="I1287" t="s">
        <v>1450</v>
      </c>
      <c r="J1287" s="1" t="str">
        <f>HYPERLINK("https://zfin.org/ZDB-GENE-060503-431")</f>
        <v>https://zfin.org/ZDB-GENE-060503-431</v>
      </c>
      <c r="K1287" t="s">
        <v>1452</v>
      </c>
    </row>
    <row r="1288" spans="1:11" x14ac:dyDescent="0.2">
      <c r="A1288">
        <v>4.1555479971530203E-25</v>
      </c>
      <c r="B1288">
        <v>0.96899576957912503</v>
      </c>
      <c r="C1288">
        <v>0.66700000000000004</v>
      </c>
      <c r="D1288">
        <v>0.16</v>
      </c>
      <c r="E1288">
        <v>6.4340349639920199E-21</v>
      </c>
      <c r="F1288">
        <v>2</v>
      </c>
      <c r="G1288" t="s">
        <v>561</v>
      </c>
      <c r="H1288" t="s">
        <v>562</v>
      </c>
      <c r="I1288" t="s">
        <v>561</v>
      </c>
      <c r="J1288" s="1" t="str">
        <f>HYPERLINK("https://zfin.org/ZDB-GENE-040718-169")</f>
        <v>https://zfin.org/ZDB-GENE-040718-169</v>
      </c>
      <c r="K1288" t="s">
        <v>563</v>
      </c>
    </row>
    <row r="1289" spans="1:11" x14ac:dyDescent="0.2">
      <c r="A1289">
        <v>4.95464365856564E-25</v>
      </c>
      <c r="B1289">
        <v>0.73289165147671997</v>
      </c>
      <c r="C1289">
        <v>0.58299999999999996</v>
      </c>
      <c r="D1289">
        <v>0.114</v>
      </c>
      <c r="E1289">
        <v>7.67127477655719E-21</v>
      </c>
      <c r="F1289">
        <v>2</v>
      </c>
      <c r="G1289" t="s">
        <v>690</v>
      </c>
      <c r="H1289" t="s">
        <v>691</v>
      </c>
      <c r="I1289" t="s">
        <v>690</v>
      </c>
      <c r="J1289" s="1" t="str">
        <f>HYPERLINK("https://zfin.org/ZDB-GENE-040426-2733")</f>
        <v>https://zfin.org/ZDB-GENE-040426-2733</v>
      </c>
      <c r="K1289" t="s">
        <v>692</v>
      </c>
    </row>
    <row r="1290" spans="1:11" x14ac:dyDescent="0.2">
      <c r="A1290">
        <v>7.7713517288371903E-25</v>
      </c>
      <c r="B1290">
        <v>0.415675898095556</v>
      </c>
      <c r="C1290">
        <v>0.2</v>
      </c>
      <c r="D1290">
        <v>1.2E-2</v>
      </c>
      <c r="E1290">
        <v>1.20323838817586E-20</v>
      </c>
      <c r="F1290">
        <v>2</v>
      </c>
      <c r="G1290" t="s">
        <v>3558</v>
      </c>
      <c r="H1290" t="s">
        <v>3559</v>
      </c>
      <c r="I1290" t="s">
        <v>3558</v>
      </c>
      <c r="J1290" s="1" t="str">
        <f>HYPERLINK("https://zfin.org/ZDB-GENE-040910-5")</f>
        <v>https://zfin.org/ZDB-GENE-040910-5</v>
      </c>
      <c r="K1290" t="s">
        <v>3560</v>
      </c>
    </row>
    <row r="1291" spans="1:11" x14ac:dyDescent="0.2">
      <c r="A1291">
        <v>9.8054595501457094E-25</v>
      </c>
      <c r="B1291">
        <v>0.47677012802478302</v>
      </c>
      <c r="C1291">
        <v>0.26700000000000002</v>
      </c>
      <c r="D1291">
        <v>2.4E-2</v>
      </c>
      <c r="E1291">
        <v>1.51817930214906E-20</v>
      </c>
      <c r="F1291">
        <v>2</v>
      </c>
      <c r="G1291" t="s">
        <v>1294</v>
      </c>
      <c r="H1291" t="s">
        <v>1295</v>
      </c>
      <c r="I1291" t="s">
        <v>1294</v>
      </c>
      <c r="J1291" s="1" t="str">
        <f>HYPERLINK("https://zfin.org/ZDB-GENE-041014-73")</f>
        <v>https://zfin.org/ZDB-GENE-041014-73</v>
      </c>
      <c r="K1291" t="s">
        <v>1296</v>
      </c>
    </row>
    <row r="1292" spans="1:11" x14ac:dyDescent="0.2">
      <c r="A1292">
        <v>1.05345429327423E-24</v>
      </c>
      <c r="B1292">
        <v>0.39299726942776603</v>
      </c>
      <c r="C1292">
        <v>0.25</v>
      </c>
      <c r="D1292">
        <v>2.1000000000000001E-2</v>
      </c>
      <c r="E1292">
        <v>1.6310632822764899E-20</v>
      </c>
      <c r="F1292">
        <v>2</v>
      </c>
      <c r="G1292" t="s">
        <v>1408</v>
      </c>
      <c r="H1292" t="s">
        <v>1409</v>
      </c>
      <c r="I1292" t="s">
        <v>1408</v>
      </c>
      <c r="J1292" s="1" t="str">
        <f>HYPERLINK("https://zfin.org/ZDB-GENE-060503-312")</f>
        <v>https://zfin.org/ZDB-GENE-060503-312</v>
      </c>
      <c r="K1292" t="s">
        <v>1410</v>
      </c>
    </row>
    <row r="1293" spans="1:11" x14ac:dyDescent="0.2">
      <c r="A1293">
        <v>1.2689015507251901E-24</v>
      </c>
      <c r="B1293">
        <v>0.76125396507514997</v>
      </c>
      <c r="C1293">
        <v>0.45</v>
      </c>
      <c r="D1293">
        <v>7.0000000000000007E-2</v>
      </c>
      <c r="E1293">
        <v>1.9646402709878101E-20</v>
      </c>
      <c r="F1293">
        <v>2</v>
      </c>
      <c r="G1293" t="s">
        <v>135</v>
      </c>
      <c r="H1293" t="s">
        <v>136</v>
      </c>
      <c r="I1293" t="s">
        <v>135</v>
      </c>
      <c r="J1293" s="1" t="str">
        <f>HYPERLINK("https://zfin.org/ZDB-GENE-050522-534")</f>
        <v>https://zfin.org/ZDB-GENE-050522-534</v>
      </c>
      <c r="K1293" t="s">
        <v>137</v>
      </c>
    </row>
    <row r="1294" spans="1:11" x14ac:dyDescent="0.2">
      <c r="A1294">
        <v>1.3274764735454301E-24</v>
      </c>
      <c r="B1294">
        <v>0.63166913005083503</v>
      </c>
      <c r="C1294">
        <v>0.36699999999999999</v>
      </c>
      <c r="D1294">
        <v>4.7E-2</v>
      </c>
      <c r="E1294">
        <v>2.05533182399039E-20</v>
      </c>
      <c r="F1294">
        <v>2</v>
      </c>
      <c r="G1294" t="s">
        <v>636</v>
      </c>
      <c r="H1294" t="s">
        <v>637</v>
      </c>
      <c r="I1294" t="s">
        <v>636</v>
      </c>
      <c r="J1294" s="1" t="str">
        <f>HYPERLINK("https://zfin.org/ZDB-GENE-050417-298")</f>
        <v>https://zfin.org/ZDB-GENE-050417-298</v>
      </c>
      <c r="K1294" t="s">
        <v>638</v>
      </c>
    </row>
    <row r="1295" spans="1:11" x14ac:dyDescent="0.2">
      <c r="A1295">
        <v>1.3349242871074E-24</v>
      </c>
      <c r="B1295">
        <v>0.51355453980860899</v>
      </c>
      <c r="C1295">
        <v>0.26700000000000002</v>
      </c>
      <c r="D1295">
        <v>2.4E-2</v>
      </c>
      <c r="E1295">
        <v>2.0668632737283901E-20</v>
      </c>
      <c r="F1295">
        <v>2</v>
      </c>
      <c r="G1295" t="s">
        <v>1552</v>
      </c>
      <c r="H1295" t="s">
        <v>1553</v>
      </c>
      <c r="I1295" t="s">
        <v>1552</v>
      </c>
      <c r="J1295" s="1" t="str">
        <f>HYPERLINK("https://zfin.org/ZDB-GENE-980526-221")</f>
        <v>https://zfin.org/ZDB-GENE-980526-221</v>
      </c>
      <c r="K1295" t="s">
        <v>1554</v>
      </c>
    </row>
    <row r="1296" spans="1:11" x14ac:dyDescent="0.2">
      <c r="A1296">
        <v>1.3847248736587701E-24</v>
      </c>
      <c r="B1296">
        <v>1.0184245438173001</v>
      </c>
      <c r="C1296">
        <v>0.61699999999999999</v>
      </c>
      <c r="D1296">
        <v>0.13800000000000001</v>
      </c>
      <c r="E1296">
        <v>2.1439695218858798E-20</v>
      </c>
      <c r="F1296">
        <v>2</v>
      </c>
      <c r="G1296" t="s">
        <v>231</v>
      </c>
      <c r="H1296" t="s">
        <v>232</v>
      </c>
      <c r="I1296" t="s">
        <v>231</v>
      </c>
      <c r="J1296" s="1" t="str">
        <f>HYPERLINK("https://zfin.org/ZDB-GENE-040426-1615")</f>
        <v>https://zfin.org/ZDB-GENE-040426-1615</v>
      </c>
      <c r="K1296" t="s">
        <v>233</v>
      </c>
    </row>
    <row r="1297" spans="1:11" x14ac:dyDescent="0.2">
      <c r="A1297">
        <v>1.48609721867101E-24</v>
      </c>
      <c r="B1297">
        <v>0.82293178577095505</v>
      </c>
      <c r="C1297">
        <v>0.5</v>
      </c>
      <c r="D1297">
        <v>8.6999999999999994E-2</v>
      </c>
      <c r="E1297">
        <v>2.3009243236683299E-20</v>
      </c>
      <c r="F1297">
        <v>2</v>
      </c>
      <c r="G1297" t="s">
        <v>120</v>
      </c>
      <c r="H1297" t="s">
        <v>121</v>
      </c>
      <c r="I1297" t="s">
        <v>120</v>
      </c>
      <c r="J1297" s="1" t="str">
        <f>HYPERLINK("https://zfin.org/ZDB-GENE-001212-8")</f>
        <v>https://zfin.org/ZDB-GENE-001212-8</v>
      </c>
      <c r="K1297" t="s">
        <v>122</v>
      </c>
    </row>
    <row r="1298" spans="1:11" x14ac:dyDescent="0.2">
      <c r="A1298">
        <v>1.55750992689231E-24</v>
      </c>
      <c r="B1298">
        <v>0.84636945392923102</v>
      </c>
      <c r="C1298">
        <v>0.98299999999999998</v>
      </c>
      <c r="D1298">
        <v>0.97</v>
      </c>
      <c r="E1298">
        <v>2.4114926198073699E-20</v>
      </c>
      <c r="F1298">
        <v>2</v>
      </c>
      <c r="G1298" t="s">
        <v>2434</v>
      </c>
      <c r="H1298" t="s">
        <v>2435</v>
      </c>
      <c r="I1298" t="s">
        <v>2434</v>
      </c>
      <c r="J1298" s="1" t="str">
        <f>HYPERLINK("https://zfin.org/ZDB-GENE-030131-9744")</f>
        <v>https://zfin.org/ZDB-GENE-030131-9744</v>
      </c>
      <c r="K1298" t="s">
        <v>2436</v>
      </c>
    </row>
    <row r="1299" spans="1:11" x14ac:dyDescent="0.2">
      <c r="A1299">
        <v>1.74097066328609E-24</v>
      </c>
      <c r="B1299">
        <v>0.50062368863923801</v>
      </c>
      <c r="C1299">
        <v>0.317</v>
      </c>
      <c r="D1299">
        <v>3.5999999999999997E-2</v>
      </c>
      <c r="E1299">
        <v>2.69554487796585E-20</v>
      </c>
      <c r="F1299">
        <v>2</v>
      </c>
      <c r="G1299" t="s">
        <v>1030</v>
      </c>
      <c r="H1299" t="s">
        <v>1031</v>
      </c>
      <c r="I1299" t="s">
        <v>1030</v>
      </c>
      <c r="J1299" s="1" t="str">
        <f>HYPERLINK("https://zfin.org/ZDB-GENE-041010-153")</f>
        <v>https://zfin.org/ZDB-GENE-041010-153</v>
      </c>
      <c r="K1299" t="s">
        <v>1032</v>
      </c>
    </row>
    <row r="1300" spans="1:11" x14ac:dyDescent="0.2">
      <c r="A1300">
        <v>2.59974094401709E-24</v>
      </c>
      <c r="B1300">
        <v>-1.4818897304813401</v>
      </c>
      <c r="C1300">
        <v>0.8</v>
      </c>
      <c r="D1300">
        <v>0.94399999999999995</v>
      </c>
      <c r="E1300">
        <v>4.0251789036216599E-20</v>
      </c>
      <c r="F1300">
        <v>2</v>
      </c>
      <c r="G1300" t="s">
        <v>1162</v>
      </c>
      <c r="H1300" t="s">
        <v>1163</v>
      </c>
      <c r="I1300" t="s">
        <v>1162</v>
      </c>
      <c r="J1300" s="1" t="str">
        <f>HYPERLINK("https://zfin.org/ZDB-GENE-011210-2")</f>
        <v>https://zfin.org/ZDB-GENE-011210-2</v>
      </c>
      <c r="K1300" t="s">
        <v>1164</v>
      </c>
    </row>
    <row r="1301" spans="1:11" x14ac:dyDescent="0.2">
      <c r="A1301">
        <v>2.6210172018864399E-24</v>
      </c>
      <c r="B1301">
        <v>0.95573074146792103</v>
      </c>
      <c r="C1301">
        <v>0.76700000000000002</v>
      </c>
      <c r="D1301">
        <v>0.22900000000000001</v>
      </c>
      <c r="E1301">
        <v>4.0581209336807701E-20</v>
      </c>
      <c r="F1301">
        <v>2</v>
      </c>
      <c r="G1301" t="s">
        <v>2485</v>
      </c>
      <c r="H1301" t="s">
        <v>2486</v>
      </c>
      <c r="I1301" t="s">
        <v>2485</v>
      </c>
      <c r="J1301" s="1" t="str">
        <f>HYPERLINK("https://zfin.org/ZDB-GENE-040426-730")</f>
        <v>https://zfin.org/ZDB-GENE-040426-730</v>
      </c>
      <c r="K1301" t="s">
        <v>2487</v>
      </c>
    </row>
    <row r="1302" spans="1:11" x14ac:dyDescent="0.2">
      <c r="A1302">
        <v>3.6059292558384198E-24</v>
      </c>
      <c r="B1302">
        <v>-2.2308300121789602</v>
      </c>
      <c r="C1302">
        <v>0.7</v>
      </c>
      <c r="D1302">
        <v>0.93400000000000005</v>
      </c>
      <c r="E1302">
        <v>5.5830602668146201E-20</v>
      </c>
      <c r="F1302">
        <v>2</v>
      </c>
      <c r="G1302" t="s">
        <v>1447</v>
      </c>
      <c r="H1302" t="s">
        <v>1448</v>
      </c>
      <c r="I1302" t="s">
        <v>1447</v>
      </c>
      <c r="J1302" s="1" t="str">
        <f>HYPERLINK("https://zfin.org/ZDB-GENE-040426-1508")</f>
        <v>https://zfin.org/ZDB-GENE-040426-1508</v>
      </c>
      <c r="K1302" t="s">
        <v>1449</v>
      </c>
    </row>
    <row r="1303" spans="1:11" x14ac:dyDescent="0.2">
      <c r="A1303">
        <v>4.3397790650977901E-24</v>
      </c>
      <c r="B1303">
        <v>1.0580270215601599</v>
      </c>
      <c r="C1303">
        <v>0.66700000000000004</v>
      </c>
      <c r="D1303">
        <v>0.157</v>
      </c>
      <c r="E1303">
        <v>6.7192799264909103E-20</v>
      </c>
      <c r="F1303">
        <v>2</v>
      </c>
      <c r="G1303" t="s">
        <v>138</v>
      </c>
      <c r="H1303" t="s">
        <v>139</v>
      </c>
      <c r="I1303" t="s">
        <v>138</v>
      </c>
      <c r="J1303" s="1" t="str">
        <f>HYPERLINK("https://zfin.org/ZDB-GENE-081022-9")</f>
        <v>https://zfin.org/ZDB-GENE-081022-9</v>
      </c>
      <c r="K1303" t="s">
        <v>140</v>
      </c>
    </row>
    <row r="1304" spans="1:11" x14ac:dyDescent="0.2">
      <c r="A1304">
        <v>6.1666625810170097E-24</v>
      </c>
      <c r="B1304">
        <v>0.64354461125972295</v>
      </c>
      <c r="C1304">
        <v>0.33300000000000002</v>
      </c>
      <c r="D1304">
        <v>4.1000000000000002E-2</v>
      </c>
      <c r="E1304">
        <v>9.5478436741886397E-20</v>
      </c>
      <c r="F1304">
        <v>2</v>
      </c>
      <c r="G1304" t="s">
        <v>468</v>
      </c>
      <c r="H1304" t="s">
        <v>469</v>
      </c>
      <c r="I1304" t="s">
        <v>468</v>
      </c>
      <c r="J1304" s="1" t="str">
        <f>HYPERLINK("https://zfin.org/ZDB-GENE-051120-129")</f>
        <v>https://zfin.org/ZDB-GENE-051120-129</v>
      </c>
      <c r="K1304" t="s">
        <v>470</v>
      </c>
    </row>
    <row r="1305" spans="1:11" x14ac:dyDescent="0.2">
      <c r="A1305">
        <v>9.129547334926E-24</v>
      </c>
      <c r="B1305">
        <v>0.31304054113886298</v>
      </c>
      <c r="C1305">
        <v>0.2</v>
      </c>
      <c r="D1305">
        <v>1.2999999999999999E-2</v>
      </c>
      <c r="E1305">
        <v>1.4135278138665899E-19</v>
      </c>
      <c r="F1305">
        <v>2</v>
      </c>
      <c r="G1305" t="s">
        <v>3561</v>
      </c>
      <c r="H1305" t="s">
        <v>3562</v>
      </c>
      <c r="I1305" t="s">
        <v>3561</v>
      </c>
      <c r="J1305" s="1" t="str">
        <f>HYPERLINK("https://zfin.org/ZDB-GENE-030131-7914")</f>
        <v>https://zfin.org/ZDB-GENE-030131-7914</v>
      </c>
      <c r="K1305" t="s">
        <v>3563</v>
      </c>
    </row>
    <row r="1306" spans="1:11" x14ac:dyDescent="0.2">
      <c r="A1306">
        <v>1.4848854324501799E-23</v>
      </c>
      <c r="B1306">
        <v>-1.90300819202458</v>
      </c>
      <c r="C1306">
        <v>0.58299999999999996</v>
      </c>
      <c r="D1306">
        <v>0.89200000000000002</v>
      </c>
      <c r="E1306">
        <v>2.2990481150626101E-19</v>
      </c>
      <c r="F1306">
        <v>2</v>
      </c>
      <c r="G1306" t="s">
        <v>1231</v>
      </c>
      <c r="H1306" t="s">
        <v>1232</v>
      </c>
      <c r="I1306" t="s">
        <v>1231</v>
      </c>
      <c r="J1306" s="1" t="str">
        <f>HYPERLINK("https://zfin.org/ZDB-GENE-110411-160")</f>
        <v>https://zfin.org/ZDB-GENE-110411-160</v>
      </c>
      <c r="K1306" t="s">
        <v>1233</v>
      </c>
    </row>
    <row r="1307" spans="1:11" x14ac:dyDescent="0.2">
      <c r="A1307">
        <v>1.6397952662204499E-23</v>
      </c>
      <c r="B1307">
        <v>1.2022760993702</v>
      </c>
      <c r="C1307">
        <v>0.65</v>
      </c>
      <c r="D1307">
        <v>0.16800000000000001</v>
      </c>
      <c r="E1307">
        <v>2.5388950106891199E-19</v>
      </c>
      <c r="F1307">
        <v>2</v>
      </c>
      <c r="G1307" t="s">
        <v>1261</v>
      </c>
      <c r="H1307" t="s">
        <v>1262</v>
      </c>
      <c r="I1307" t="s">
        <v>1261</v>
      </c>
      <c r="J1307" s="1" t="str">
        <f>HYPERLINK("https://zfin.org/ZDB-GENE-050320-35")</f>
        <v>https://zfin.org/ZDB-GENE-050320-35</v>
      </c>
      <c r="K1307" t="s">
        <v>1263</v>
      </c>
    </row>
    <row r="1308" spans="1:11" x14ac:dyDescent="0.2">
      <c r="A1308">
        <v>2.2240977098246301E-23</v>
      </c>
      <c r="B1308">
        <v>0.442568265834754</v>
      </c>
      <c r="C1308">
        <v>0.35</v>
      </c>
      <c r="D1308">
        <v>4.3999999999999997E-2</v>
      </c>
      <c r="E1308">
        <v>3.4435704841214702E-19</v>
      </c>
      <c r="F1308">
        <v>2</v>
      </c>
      <c r="G1308" t="s">
        <v>2015</v>
      </c>
      <c r="H1308" t="s">
        <v>2016</v>
      </c>
      <c r="I1308" t="s">
        <v>2015</v>
      </c>
      <c r="J1308" s="1" t="str">
        <f>HYPERLINK("https://zfin.org/ZDB-GENE-041212-41")</f>
        <v>https://zfin.org/ZDB-GENE-041212-41</v>
      </c>
      <c r="K1308" t="s">
        <v>2017</v>
      </c>
    </row>
    <row r="1309" spans="1:11" x14ac:dyDescent="0.2">
      <c r="A1309">
        <v>2.4150486522195399E-23</v>
      </c>
      <c r="B1309">
        <v>0.84147012801600596</v>
      </c>
      <c r="C1309">
        <v>0.61699999999999999</v>
      </c>
      <c r="D1309">
        <v>0.14199999999999999</v>
      </c>
      <c r="E1309">
        <v>3.7392198282315202E-19</v>
      </c>
      <c r="F1309">
        <v>2</v>
      </c>
      <c r="G1309" t="s">
        <v>594</v>
      </c>
      <c r="H1309" t="s">
        <v>595</v>
      </c>
      <c r="I1309" t="s">
        <v>594</v>
      </c>
      <c r="J1309" s="1" t="str">
        <f>HYPERLINK("https://zfin.org/ZDB-GENE-081104-197")</f>
        <v>https://zfin.org/ZDB-GENE-081104-197</v>
      </c>
      <c r="K1309" t="s">
        <v>596</v>
      </c>
    </row>
    <row r="1310" spans="1:11" x14ac:dyDescent="0.2">
      <c r="A1310">
        <v>2.5101064168379E-23</v>
      </c>
      <c r="B1310">
        <v>0.51170885674332001</v>
      </c>
      <c r="C1310">
        <v>0.26700000000000002</v>
      </c>
      <c r="D1310">
        <v>2.5999999999999999E-2</v>
      </c>
      <c r="E1310">
        <v>3.88639776519012E-19</v>
      </c>
      <c r="F1310">
        <v>2</v>
      </c>
      <c r="G1310" t="s">
        <v>1549</v>
      </c>
      <c r="H1310" t="s">
        <v>1550</v>
      </c>
      <c r="I1310" t="s">
        <v>1549</v>
      </c>
      <c r="J1310" s="1" t="str">
        <f>HYPERLINK("https://zfin.org/ZDB-GENE-131127-287")</f>
        <v>https://zfin.org/ZDB-GENE-131127-287</v>
      </c>
      <c r="K1310" t="s">
        <v>1551</v>
      </c>
    </row>
    <row r="1311" spans="1:11" x14ac:dyDescent="0.2">
      <c r="A1311">
        <v>3.3764841741633102E-23</v>
      </c>
      <c r="B1311">
        <v>0.46733359382090101</v>
      </c>
      <c r="C1311">
        <v>0.217</v>
      </c>
      <c r="D1311">
        <v>1.6E-2</v>
      </c>
      <c r="E1311">
        <v>5.2278104468570598E-19</v>
      </c>
      <c r="F1311">
        <v>2</v>
      </c>
      <c r="G1311" t="s">
        <v>1629</v>
      </c>
      <c r="H1311" t="s">
        <v>1630</v>
      </c>
      <c r="I1311" t="s">
        <v>1629</v>
      </c>
      <c r="J1311" s="1" t="str">
        <f>HYPERLINK("https://zfin.org/")</f>
        <v>https://zfin.org/</v>
      </c>
    </row>
    <row r="1312" spans="1:11" x14ac:dyDescent="0.2">
      <c r="A1312">
        <v>4.5020176593889898E-23</v>
      </c>
      <c r="B1312">
        <v>-1.9040527444051101</v>
      </c>
      <c r="C1312">
        <v>0.38300000000000001</v>
      </c>
      <c r="D1312">
        <v>0.84599999999999997</v>
      </c>
      <c r="E1312">
        <v>6.9704739420319702E-19</v>
      </c>
      <c r="F1312">
        <v>2</v>
      </c>
      <c r="G1312" t="s">
        <v>1465</v>
      </c>
      <c r="H1312" t="s">
        <v>1466</v>
      </c>
      <c r="I1312" t="s">
        <v>1465</v>
      </c>
      <c r="J1312" s="1" t="str">
        <f>HYPERLINK("https://zfin.org/ZDB-GENE-030131-2391")</f>
        <v>https://zfin.org/ZDB-GENE-030131-2391</v>
      </c>
      <c r="K1312" t="s">
        <v>1467</v>
      </c>
    </row>
    <row r="1313" spans="1:11" x14ac:dyDescent="0.2">
      <c r="A1313">
        <v>4.93708225103329E-23</v>
      </c>
      <c r="B1313">
        <v>0.82039427592372505</v>
      </c>
      <c r="C1313">
        <v>0.53300000000000003</v>
      </c>
      <c r="D1313">
        <v>0.106</v>
      </c>
      <c r="E1313">
        <v>7.6440844492748497E-19</v>
      </c>
      <c r="F1313">
        <v>2</v>
      </c>
      <c r="G1313" t="s">
        <v>1724</v>
      </c>
      <c r="H1313" t="s">
        <v>1725</v>
      </c>
      <c r="I1313" t="s">
        <v>1724</v>
      </c>
      <c r="J1313" s="1" t="str">
        <f>HYPERLINK("https://zfin.org/ZDB-GENE-030131-8451")</f>
        <v>https://zfin.org/ZDB-GENE-030131-8451</v>
      </c>
      <c r="K1313" t="s">
        <v>1726</v>
      </c>
    </row>
    <row r="1314" spans="1:11" x14ac:dyDescent="0.2">
      <c r="A1314">
        <v>4.9730816780345197E-23</v>
      </c>
      <c r="B1314">
        <v>0.748284600214289</v>
      </c>
      <c r="C1314">
        <v>0.35</v>
      </c>
      <c r="D1314">
        <v>4.7E-2</v>
      </c>
      <c r="E1314">
        <v>7.6998223621008405E-19</v>
      </c>
      <c r="F1314">
        <v>2</v>
      </c>
      <c r="G1314" t="s">
        <v>392</v>
      </c>
      <c r="H1314" t="s">
        <v>393</v>
      </c>
      <c r="I1314" t="s">
        <v>392</v>
      </c>
      <c r="J1314" s="1" t="str">
        <f>HYPERLINK("https://zfin.org/ZDB-GENE-081104-296")</f>
        <v>https://zfin.org/ZDB-GENE-081104-296</v>
      </c>
      <c r="K1314" t="s">
        <v>394</v>
      </c>
    </row>
    <row r="1315" spans="1:11" x14ac:dyDescent="0.2">
      <c r="A1315">
        <v>5.6684831608067102E-23</v>
      </c>
      <c r="B1315">
        <v>0.38599899723036901</v>
      </c>
      <c r="C1315">
        <v>0.26700000000000002</v>
      </c>
      <c r="D1315">
        <v>2.5999999999999999E-2</v>
      </c>
      <c r="E1315">
        <v>8.7765124778770302E-19</v>
      </c>
      <c r="F1315">
        <v>2</v>
      </c>
      <c r="G1315" t="s">
        <v>1405</v>
      </c>
      <c r="H1315" t="s">
        <v>1406</v>
      </c>
      <c r="I1315" t="s">
        <v>1405</v>
      </c>
      <c r="J1315" s="1" t="str">
        <f>HYPERLINK("https://zfin.org/ZDB-GENE-060312-41")</f>
        <v>https://zfin.org/ZDB-GENE-060312-41</v>
      </c>
      <c r="K1315" t="s">
        <v>1407</v>
      </c>
    </row>
    <row r="1316" spans="1:11" x14ac:dyDescent="0.2">
      <c r="A1316">
        <v>6.0963205552856098E-23</v>
      </c>
      <c r="B1316">
        <v>0.65173546050549802</v>
      </c>
      <c r="C1316">
        <v>0.51700000000000002</v>
      </c>
      <c r="D1316">
        <v>9.7000000000000003E-2</v>
      </c>
      <c r="E1316">
        <v>9.4389331157487197E-19</v>
      </c>
      <c r="F1316">
        <v>2</v>
      </c>
      <c r="G1316" t="s">
        <v>902</v>
      </c>
      <c r="H1316" t="s">
        <v>903</v>
      </c>
      <c r="I1316" t="s">
        <v>902</v>
      </c>
      <c r="J1316" s="1" t="str">
        <f>HYPERLINK("https://zfin.org/ZDB-GENE-070911-3")</f>
        <v>https://zfin.org/ZDB-GENE-070911-3</v>
      </c>
      <c r="K1316" t="s">
        <v>904</v>
      </c>
    </row>
    <row r="1317" spans="1:11" x14ac:dyDescent="0.2">
      <c r="A1317">
        <v>6.3080852810078099E-23</v>
      </c>
      <c r="B1317">
        <v>1.01669582055423</v>
      </c>
      <c r="C1317">
        <v>0.96699999999999997</v>
      </c>
      <c r="D1317">
        <v>0.70199999999999996</v>
      </c>
      <c r="E1317">
        <v>9.7668084405843906E-19</v>
      </c>
      <c r="F1317">
        <v>2</v>
      </c>
      <c r="G1317" t="s">
        <v>794</v>
      </c>
      <c r="H1317" t="s">
        <v>795</v>
      </c>
      <c r="I1317" t="s">
        <v>794</v>
      </c>
      <c r="J1317" s="1" t="str">
        <f>HYPERLINK("https://zfin.org/ZDB-GENE-030326-2")</f>
        <v>https://zfin.org/ZDB-GENE-030326-2</v>
      </c>
      <c r="K1317" t="s">
        <v>796</v>
      </c>
    </row>
    <row r="1318" spans="1:11" x14ac:dyDescent="0.2">
      <c r="A1318">
        <v>7.0899278325770003E-23</v>
      </c>
      <c r="B1318">
        <v>0.711956513570984</v>
      </c>
      <c r="C1318">
        <v>0.433</v>
      </c>
      <c r="D1318">
        <v>7.2999999999999995E-2</v>
      </c>
      <c r="E1318">
        <v>1.0977335263179001E-18</v>
      </c>
      <c r="F1318">
        <v>2</v>
      </c>
      <c r="G1318" t="s">
        <v>45</v>
      </c>
      <c r="H1318" t="s">
        <v>46</v>
      </c>
      <c r="I1318" t="s">
        <v>45</v>
      </c>
      <c r="J1318" s="1" t="str">
        <f>HYPERLINK("https://zfin.org/ZDB-GENE-041114-99")</f>
        <v>https://zfin.org/ZDB-GENE-041114-99</v>
      </c>
      <c r="K1318" t="s">
        <v>47</v>
      </c>
    </row>
    <row r="1319" spans="1:11" x14ac:dyDescent="0.2">
      <c r="A1319">
        <v>7.6845000268223501E-23</v>
      </c>
      <c r="B1319">
        <v>1.18015513676502</v>
      </c>
      <c r="C1319">
        <v>0.95</v>
      </c>
      <c r="D1319">
        <v>0.65100000000000002</v>
      </c>
      <c r="E1319">
        <v>1.1897911391529001E-18</v>
      </c>
      <c r="F1319">
        <v>2</v>
      </c>
      <c r="G1319" t="s">
        <v>988</v>
      </c>
      <c r="H1319" t="s">
        <v>989</v>
      </c>
      <c r="I1319" t="s">
        <v>988</v>
      </c>
      <c r="J1319" s="1" t="str">
        <f>HYPERLINK("https://zfin.org/ZDB-GENE-030131-527")</f>
        <v>https://zfin.org/ZDB-GENE-030131-527</v>
      </c>
      <c r="K1319" t="s">
        <v>990</v>
      </c>
    </row>
    <row r="1320" spans="1:11" x14ac:dyDescent="0.2">
      <c r="A1320">
        <v>7.8646800499198999E-23</v>
      </c>
      <c r="B1320">
        <v>1.35604432453948</v>
      </c>
      <c r="C1320">
        <v>0.93300000000000005</v>
      </c>
      <c r="D1320">
        <v>0.61499999999999999</v>
      </c>
      <c r="E1320">
        <v>1.2176884121290999E-18</v>
      </c>
      <c r="F1320">
        <v>2</v>
      </c>
      <c r="G1320" t="s">
        <v>923</v>
      </c>
      <c r="H1320" t="s">
        <v>924</v>
      </c>
      <c r="I1320" t="s">
        <v>923</v>
      </c>
      <c r="J1320" s="1" t="str">
        <f>HYPERLINK("https://zfin.org/ZDB-GENE-030131-1226")</f>
        <v>https://zfin.org/ZDB-GENE-030131-1226</v>
      </c>
      <c r="K1320" t="s">
        <v>925</v>
      </c>
    </row>
    <row r="1321" spans="1:11" x14ac:dyDescent="0.2">
      <c r="A1321">
        <v>8.0057796697637996E-23</v>
      </c>
      <c r="B1321">
        <v>0.37524954334322203</v>
      </c>
      <c r="C1321">
        <v>0.217</v>
      </c>
      <c r="D1321">
        <v>1.6E-2</v>
      </c>
      <c r="E1321">
        <v>1.2395348662695299E-18</v>
      </c>
      <c r="F1321">
        <v>2</v>
      </c>
      <c r="G1321" t="s">
        <v>3564</v>
      </c>
      <c r="H1321" t="s">
        <v>3565</v>
      </c>
      <c r="I1321" t="s">
        <v>3564</v>
      </c>
      <c r="J1321" s="1" t="str">
        <f>HYPERLINK("https://zfin.org/ZDB-GENE-041001-164")</f>
        <v>https://zfin.org/ZDB-GENE-041001-164</v>
      </c>
      <c r="K1321" t="s">
        <v>3566</v>
      </c>
    </row>
    <row r="1322" spans="1:11" x14ac:dyDescent="0.2">
      <c r="A1322">
        <v>9.1757679989957303E-23</v>
      </c>
      <c r="B1322">
        <v>0.437003230440624</v>
      </c>
      <c r="C1322">
        <v>0.28299999999999997</v>
      </c>
      <c r="D1322">
        <v>2.9000000000000001E-2</v>
      </c>
      <c r="E1322">
        <v>1.42068415928451E-18</v>
      </c>
      <c r="F1322">
        <v>2</v>
      </c>
      <c r="G1322" t="s">
        <v>3567</v>
      </c>
      <c r="H1322" t="s">
        <v>3568</v>
      </c>
      <c r="I1322" t="s">
        <v>3567</v>
      </c>
      <c r="J1322" s="1" t="str">
        <f>HYPERLINK("https://zfin.org/ZDB-GENE-030131-4797")</f>
        <v>https://zfin.org/ZDB-GENE-030131-4797</v>
      </c>
      <c r="K1322" t="s">
        <v>3569</v>
      </c>
    </row>
    <row r="1323" spans="1:11" x14ac:dyDescent="0.2">
      <c r="A1323">
        <v>9.58994890736771E-23</v>
      </c>
      <c r="B1323">
        <v>0.61039644015541095</v>
      </c>
      <c r="C1323">
        <v>0.35</v>
      </c>
      <c r="D1323">
        <v>4.7E-2</v>
      </c>
      <c r="E1323">
        <v>1.4848117893277401E-18</v>
      </c>
      <c r="F1323">
        <v>2</v>
      </c>
      <c r="G1323" t="s">
        <v>410</v>
      </c>
      <c r="H1323" t="s">
        <v>411</v>
      </c>
      <c r="I1323" t="s">
        <v>410</v>
      </c>
      <c r="J1323" s="1" t="str">
        <f>HYPERLINK("https://zfin.org/ZDB-GENE-060929-1170")</f>
        <v>https://zfin.org/ZDB-GENE-060929-1170</v>
      </c>
      <c r="K1323" t="s">
        <v>412</v>
      </c>
    </row>
    <row r="1324" spans="1:11" x14ac:dyDescent="0.2">
      <c r="A1324">
        <v>1.08064188824984E-22</v>
      </c>
      <c r="B1324">
        <v>0.41676936822264499</v>
      </c>
      <c r="C1324">
        <v>0.15</v>
      </c>
      <c r="D1324">
        <v>7.0000000000000001E-3</v>
      </c>
      <c r="E1324">
        <v>1.67315783557723E-18</v>
      </c>
      <c r="F1324">
        <v>2</v>
      </c>
      <c r="G1324" t="s">
        <v>3570</v>
      </c>
      <c r="H1324" t="s">
        <v>3571</v>
      </c>
      <c r="I1324" t="s">
        <v>3570</v>
      </c>
      <c r="J1324" s="1" t="str">
        <f>HYPERLINK("https://zfin.org/ZDB-GENE-081022-200")</f>
        <v>https://zfin.org/ZDB-GENE-081022-200</v>
      </c>
      <c r="K1324" t="s">
        <v>3572</v>
      </c>
    </row>
    <row r="1325" spans="1:11" x14ac:dyDescent="0.2">
      <c r="A1325">
        <v>1.3920093424760899E-22</v>
      </c>
      <c r="B1325">
        <v>-1.51265340320569</v>
      </c>
      <c r="C1325">
        <v>0.65</v>
      </c>
      <c r="D1325">
        <v>0.92900000000000005</v>
      </c>
      <c r="E1325">
        <v>2.1552480649557298E-18</v>
      </c>
      <c r="F1325">
        <v>2</v>
      </c>
      <c r="G1325" t="s">
        <v>1342</v>
      </c>
      <c r="H1325" t="s">
        <v>1343</v>
      </c>
      <c r="I1325" t="s">
        <v>1342</v>
      </c>
      <c r="J1325" s="1" t="str">
        <f>HYPERLINK("https://zfin.org/ZDB-GENE-040426-2172")</f>
        <v>https://zfin.org/ZDB-GENE-040426-2172</v>
      </c>
      <c r="K1325" t="s">
        <v>1344</v>
      </c>
    </row>
    <row r="1326" spans="1:11" x14ac:dyDescent="0.2">
      <c r="A1326">
        <v>1.4141932537177201E-22</v>
      </c>
      <c r="B1326">
        <v>0.57617441901684796</v>
      </c>
      <c r="C1326">
        <v>0.36699999999999999</v>
      </c>
      <c r="D1326">
        <v>5.0999999999999997E-2</v>
      </c>
      <c r="E1326">
        <v>2.1895954147311502E-18</v>
      </c>
      <c r="F1326">
        <v>2</v>
      </c>
      <c r="G1326" t="s">
        <v>3573</v>
      </c>
      <c r="H1326" t="s">
        <v>3574</v>
      </c>
      <c r="I1326" t="s">
        <v>3573</v>
      </c>
      <c r="J1326" s="1" t="str">
        <f>HYPERLINK("https://zfin.org/ZDB-GENE-030131-3606")</f>
        <v>https://zfin.org/ZDB-GENE-030131-3606</v>
      </c>
      <c r="K1326" t="s">
        <v>3575</v>
      </c>
    </row>
    <row r="1327" spans="1:11" x14ac:dyDescent="0.2">
      <c r="A1327">
        <v>1.7102808020747701E-22</v>
      </c>
      <c r="B1327">
        <v>0.76253158858183001</v>
      </c>
      <c r="C1327">
        <v>0.6</v>
      </c>
      <c r="D1327">
        <v>0.13500000000000001</v>
      </c>
      <c r="E1327">
        <v>2.6480277658523598E-18</v>
      </c>
      <c r="F1327">
        <v>2</v>
      </c>
      <c r="G1327" t="s">
        <v>1077</v>
      </c>
      <c r="H1327" t="s">
        <v>1078</v>
      </c>
      <c r="I1327" t="s">
        <v>1077</v>
      </c>
      <c r="J1327" s="1" t="str">
        <f>HYPERLINK("https://zfin.org/ZDB-GENE-050522-323")</f>
        <v>https://zfin.org/ZDB-GENE-050522-323</v>
      </c>
      <c r="K1327" t="s">
        <v>1079</v>
      </c>
    </row>
    <row r="1328" spans="1:11" x14ac:dyDescent="0.2">
      <c r="A1328">
        <v>1.73884208915892E-22</v>
      </c>
      <c r="B1328">
        <v>0.59418591271828902</v>
      </c>
      <c r="C1328">
        <v>0.317</v>
      </c>
      <c r="D1328">
        <v>3.9E-2</v>
      </c>
      <c r="E1328">
        <v>2.6922492066447601E-18</v>
      </c>
      <c r="F1328">
        <v>2</v>
      </c>
      <c r="G1328" t="s">
        <v>1246</v>
      </c>
      <c r="H1328" t="s">
        <v>1247</v>
      </c>
      <c r="I1328" t="s">
        <v>1246</v>
      </c>
      <c r="J1328" s="1" t="str">
        <f>HYPERLINK("https://zfin.org/ZDB-GENE-131121-564")</f>
        <v>https://zfin.org/ZDB-GENE-131121-564</v>
      </c>
      <c r="K1328" t="s">
        <v>1248</v>
      </c>
    </row>
    <row r="1329" spans="1:11" x14ac:dyDescent="0.2">
      <c r="A1329">
        <v>1.79186792184066E-22</v>
      </c>
      <c r="B1329">
        <v>-1.7899677028478</v>
      </c>
      <c r="C1329">
        <v>0.63300000000000001</v>
      </c>
      <c r="D1329">
        <v>0.88500000000000001</v>
      </c>
      <c r="E1329">
        <v>2.7743491033858899E-18</v>
      </c>
      <c r="F1329">
        <v>2</v>
      </c>
      <c r="G1329" t="s">
        <v>1363</v>
      </c>
      <c r="H1329" t="s">
        <v>1364</v>
      </c>
      <c r="I1329" t="s">
        <v>1363</v>
      </c>
      <c r="J1329" s="1" t="str">
        <f>HYPERLINK("https://zfin.org/ZDB-GENE-031002-9")</f>
        <v>https://zfin.org/ZDB-GENE-031002-9</v>
      </c>
      <c r="K1329" t="s">
        <v>1365</v>
      </c>
    </row>
    <row r="1330" spans="1:11" x14ac:dyDescent="0.2">
      <c r="A1330">
        <v>2.0355404366757399E-22</v>
      </c>
      <c r="B1330">
        <v>0.70030323932905603</v>
      </c>
      <c r="C1330">
        <v>0.38300000000000001</v>
      </c>
      <c r="D1330">
        <v>5.8000000000000003E-2</v>
      </c>
      <c r="E1330">
        <v>3.1516272581050401E-18</v>
      </c>
      <c r="F1330">
        <v>2</v>
      </c>
      <c r="G1330" t="s">
        <v>340</v>
      </c>
      <c r="H1330" t="s">
        <v>341</v>
      </c>
      <c r="I1330" t="s">
        <v>340</v>
      </c>
      <c r="J1330" s="1" t="str">
        <f>HYPERLINK("https://zfin.org/ZDB-GENE-050411-27")</f>
        <v>https://zfin.org/ZDB-GENE-050411-27</v>
      </c>
      <c r="K1330" t="s">
        <v>342</v>
      </c>
    </row>
    <row r="1331" spans="1:11" x14ac:dyDescent="0.2">
      <c r="A1331">
        <v>2.3867275775034602E-22</v>
      </c>
      <c r="B1331">
        <v>0.32402466074381397</v>
      </c>
      <c r="C1331">
        <v>0.11700000000000001</v>
      </c>
      <c r="D1331">
        <v>3.0000000000000001E-3</v>
      </c>
      <c r="E1331">
        <v>3.6953703082486001E-18</v>
      </c>
      <c r="F1331">
        <v>2</v>
      </c>
      <c r="G1331" t="s">
        <v>3576</v>
      </c>
      <c r="H1331" t="s">
        <v>3577</v>
      </c>
      <c r="I1331" t="s">
        <v>3576</v>
      </c>
      <c r="J1331" s="1" t="str">
        <f>HYPERLINK("https://zfin.org/ZDB-GENE-040808-34")</f>
        <v>https://zfin.org/ZDB-GENE-040808-34</v>
      </c>
      <c r="K1331" t="s">
        <v>3578</v>
      </c>
    </row>
    <row r="1332" spans="1:11" x14ac:dyDescent="0.2">
      <c r="A1332">
        <v>2.87345209360454E-22</v>
      </c>
      <c r="B1332">
        <v>0.56704842228945396</v>
      </c>
      <c r="C1332">
        <v>0.41699999999999998</v>
      </c>
      <c r="D1332">
        <v>6.5000000000000002E-2</v>
      </c>
      <c r="E1332">
        <v>4.4489658765279098E-18</v>
      </c>
      <c r="F1332">
        <v>2</v>
      </c>
      <c r="G1332" t="s">
        <v>3579</v>
      </c>
      <c r="H1332" t="s">
        <v>3580</v>
      </c>
      <c r="I1332" t="s">
        <v>3579</v>
      </c>
      <c r="J1332" s="1" t="str">
        <f>HYPERLINK("https://zfin.org/ZDB-GENE-030128-3")</f>
        <v>https://zfin.org/ZDB-GENE-030128-3</v>
      </c>
      <c r="K1332" t="s">
        <v>3581</v>
      </c>
    </row>
    <row r="1333" spans="1:11" x14ac:dyDescent="0.2">
      <c r="A1333">
        <v>7.19894826989797E-22</v>
      </c>
      <c r="B1333">
        <v>1.1936108745831899</v>
      </c>
      <c r="C1333">
        <v>1</v>
      </c>
      <c r="D1333">
        <v>0.84699999999999998</v>
      </c>
      <c r="E1333">
        <v>1.1146131606283001E-17</v>
      </c>
      <c r="F1333">
        <v>2</v>
      </c>
      <c r="G1333" t="s">
        <v>997</v>
      </c>
      <c r="H1333" t="s">
        <v>998</v>
      </c>
      <c r="I1333" t="s">
        <v>997</v>
      </c>
      <c r="J1333" s="1" t="str">
        <f>HYPERLINK("https://zfin.org/ZDB-GENE-030131-5590")</f>
        <v>https://zfin.org/ZDB-GENE-030131-5590</v>
      </c>
      <c r="K1333" t="s">
        <v>999</v>
      </c>
    </row>
    <row r="1334" spans="1:11" x14ac:dyDescent="0.2">
      <c r="A1334">
        <v>7.38356386183116E-22</v>
      </c>
      <c r="B1334">
        <v>0.74441933964386198</v>
      </c>
      <c r="C1334">
        <v>0.58299999999999996</v>
      </c>
      <c r="D1334">
        <v>0.13100000000000001</v>
      </c>
      <c r="E1334">
        <v>1.14319719272732E-17</v>
      </c>
      <c r="F1334">
        <v>2</v>
      </c>
      <c r="G1334" t="s">
        <v>1919</v>
      </c>
      <c r="H1334" t="s">
        <v>1920</v>
      </c>
      <c r="I1334" t="s">
        <v>1919</v>
      </c>
      <c r="J1334" s="1" t="str">
        <f>HYPERLINK("https://zfin.org/ZDB-GENE-070112-2282")</f>
        <v>https://zfin.org/ZDB-GENE-070112-2282</v>
      </c>
      <c r="K1334" t="s">
        <v>1921</v>
      </c>
    </row>
    <row r="1335" spans="1:11" x14ac:dyDescent="0.2">
      <c r="A1335">
        <v>1.30675209410928E-21</v>
      </c>
      <c r="B1335">
        <v>0.69148302899788405</v>
      </c>
      <c r="C1335">
        <v>0.48299999999999998</v>
      </c>
      <c r="D1335">
        <v>9.5000000000000001E-2</v>
      </c>
      <c r="E1335">
        <v>2.0232442673093899E-17</v>
      </c>
      <c r="F1335">
        <v>2</v>
      </c>
      <c r="G1335" t="s">
        <v>1411</v>
      </c>
      <c r="H1335" t="s">
        <v>1412</v>
      </c>
      <c r="I1335" t="s">
        <v>1411</v>
      </c>
      <c r="J1335" s="1" t="str">
        <f>HYPERLINK("https://zfin.org/ZDB-GENE-030131-5906")</f>
        <v>https://zfin.org/ZDB-GENE-030131-5906</v>
      </c>
      <c r="K1335" t="s">
        <v>1413</v>
      </c>
    </row>
    <row r="1336" spans="1:11" x14ac:dyDescent="0.2">
      <c r="A1336">
        <v>1.8976832079789802E-21</v>
      </c>
      <c r="B1336">
        <v>0.80759251926999198</v>
      </c>
      <c r="C1336">
        <v>0.45</v>
      </c>
      <c r="D1336">
        <v>8.1000000000000003E-2</v>
      </c>
      <c r="E1336">
        <v>2.9381829109138603E-17</v>
      </c>
      <c r="F1336">
        <v>2</v>
      </c>
      <c r="G1336" t="s">
        <v>56</v>
      </c>
      <c r="H1336" t="s">
        <v>57</v>
      </c>
      <c r="I1336" t="s">
        <v>56</v>
      </c>
      <c r="J1336" s="1" t="str">
        <f>HYPERLINK("https://zfin.org/ZDB-GENE-080220-51")</f>
        <v>https://zfin.org/ZDB-GENE-080220-51</v>
      </c>
      <c r="K1336" t="s">
        <v>58</v>
      </c>
    </row>
    <row r="1337" spans="1:11" x14ac:dyDescent="0.2">
      <c r="A1337">
        <v>2.12692292363703E-21</v>
      </c>
      <c r="B1337">
        <v>1.0743591865065401</v>
      </c>
      <c r="C1337">
        <v>0.76700000000000002</v>
      </c>
      <c r="D1337">
        <v>0.26100000000000001</v>
      </c>
      <c r="E1337">
        <v>3.29311476266721E-17</v>
      </c>
      <c r="F1337">
        <v>2</v>
      </c>
      <c r="G1337" t="s">
        <v>976</v>
      </c>
      <c r="H1337" t="s">
        <v>977</v>
      </c>
      <c r="I1337" t="s">
        <v>976</v>
      </c>
      <c r="J1337" s="1" t="str">
        <f>HYPERLINK("https://zfin.org/ZDB-GENE-060331-97")</f>
        <v>https://zfin.org/ZDB-GENE-060331-97</v>
      </c>
      <c r="K1337" t="s">
        <v>978</v>
      </c>
    </row>
    <row r="1338" spans="1:11" x14ac:dyDescent="0.2">
      <c r="A1338">
        <v>2.1276692434931801E-21</v>
      </c>
      <c r="B1338">
        <v>1.74103416748568</v>
      </c>
      <c r="C1338">
        <v>0.96699999999999997</v>
      </c>
      <c r="D1338">
        <v>0.67600000000000005</v>
      </c>
      <c r="E1338">
        <v>3.2942702897004899E-17</v>
      </c>
      <c r="F1338">
        <v>2</v>
      </c>
      <c r="G1338" t="s">
        <v>725</v>
      </c>
      <c r="H1338" t="s">
        <v>726</v>
      </c>
      <c r="I1338" t="s">
        <v>725</v>
      </c>
      <c r="J1338" s="1" t="str">
        <f>HYPERLINK("https://zfin.org/ZDB-GENE-020806-4")</f>
        <v>https://zfin.org/ZDB-GENE-020806-4</v>
      </c>
      <c r="K1338" t="s">
        <v>727</v>
      </c>
    </row>
    <row r="1339" spans="1:11" x14ac:dyDescent="0.2">
      <c r="A1339">
        <v>2.3127817522261901E-21</v>
      </c>
      <c r="B1339">
        <v>0.34609867082285201</v>
      </c>
      <c r="C1339">
        <v>0.15</v>
      </c>
      <c r="D1339">
        <v>8.0000000000000002E-3</v>
      </c>
      <c r="E1339">
        <v>3.5808799869718102E-17</v>
      </c>
      <c r="F1339">
        <v>2</v>
      </c>
      <c r="G1339" t="s">
        <v>3582</v>
      </c>
      <c r="H1339" t="s">
        <v>3583</v>
      </c>
      <c r="I1339" t="s">
        <v>3582</v>
      </c>
      <c r="J1339" s="1" t="str">
        <f>HYPERLINK("https://zfin.org/ZDB-GENE-091118-68")</f>
        <v>https://zfin.org/ZDB-GENE-091118-68</v>
      </c>
      <c r="K1339" t="s">
        <v>3584</v>
      </c>
    </row>
    <row r="1340" spans="1:11" x14ac:dyDescent="0.2">
      <c r="A1340">
        <v>4.0429273880561898E-21</v>
      </c>
      <c r="B1340">
        <v>0.63543554857451401</v>
      </c>
      <c r="C1340">
        <v>0.41699999999999998</v>
      </c>
      <c r="D1340">
        <v>7.0000000000000007E-2</v>
      </c>
      <c r="E1340">
        <v>6.2596644749274104E-17</v>
      </c>
      <c r="F1340">
        <v>2</v>
      </c>
      <c r="G1340" t="s">
        <v>3585</v>
      </c>
      <c r="H1340" t="s">
        <v>3586</v>
      </c>
      <c r="I1340" t="s">
        <v>3585</v>
      </c>
      <c r="J1340" s="1" t="str">
        <f>HYPERLINK("https://zfin.org/ZDB-GENE-070410-85")</f>
        <v>https://zfin.org/ZDB-GENE-070410-85</v>
      </c>
      <c r="K1340" t="s">
        <v>3587</v>
      </c>
    </row>
    <row r="1341" spans="1:11" x14ac:dyDescent="0.2">
      <c r="A1341">
        <v>4.4436819425627998E-21</v>
      </c>
      <c r="B1341">
        <v>0.43188887671438098</v>
      </c>
      <c r="C1341">
        <v>0.28299999999999997</v>
      </c>
      <c r="D1341">
        <v>3.3000000000000002E-2</v>
      </c>
      <c r="E1341">
        <v>6.8801527516699902E-17</v>
      </c>
      <c r="F1341">
        <v>2</v>
      </c>
      <c r="G1341" t="s">
        <v>743</v>
      </c>
      <c r="H1341" t="s">
        <v>744</v>
      </c>
      <c r="I1341" t="s">
        <v>743</v>
      </c>
      <c r="J1341" s="1" t="str">
        <f>HYPERLINK("https://zfin.org/ZDB-GENE-050522-275")</f>
        <v>https://zfin.org/ZDB-GENE-050522-275</v>
      </c>
      <c r="K1341" t="s">
        <v>745</v>
      </c>
    </row>
    <row r="1342" spans="1:11" x14ac:dyDescent="0.2">
      <c r="A1342">
        <v>4.7470313124716402E-21</v>
      </c>
      <c r="B1342">
        <v>0.57652062900940004</v>
      </c>
      <c r="C1342">
        <v>0.28299999999999997</v>
      </c>
      <c r="D1342">
        <v>3.4000000000000002E-2</v>
      </c>
      <c r="E1342">
        <v>7.3498285810998301E-17</v>
      </c>
      <c r="F1342">
        <v>2</v>
      </c>
      <c r="G1342" t="s">
        <v>440</v>
      </c>
      <c r="H1342" t="s">
        <v>441</v>
      </c>
      <c r="I1342" t="s">
        <v>442</v>
      </c>
      <c r="J1342" s="1" t="str">
        <f>HYPERLINK("https://zfin.org/")</f>
        <v>https://zfin.org/</v>
      </c>
      <c r="K1342" t="s">
        <v>443</v>
      </c>
    </row>
    <row r="1343" spans="1:11" x14ac:dyDescent="0.2">
      <c r="A1343">
        <v>6.5266509861794598E-21</v>
      </c>
      <c r="B1343">
        <v>0.78663927620679397</v>
      </c>
      <c r="C1343">
        <v>0.56699999999999995</v>
      </c>
      <c r="D1343">
        <v>0.13300000000000001</v>
      </c>
      <c r="E1343">
        <v>1.01052137219017E-16</v>
      </c>
      <c r="F1343">
        <v>2</v>
      </c>
      <c r="G1343" t="s">
        <v>3588</v>
      </c>
      <c r="H1343" t="s">
        <v>3589</v>
      </c>
      <c r="I1343" t="s">
        <v>3588</v>
      </c>
      <c r="J1343" s="1" t="str">
        <f>HYPERLINK("https://zfin.org/ZDB-GENE-030131-617")</f>
        <v>https://zfin.org/ZDB-GENE-030131-617</v>
      </c>
      <c r="K1343" t="s">
        <v>3590</v>
      </c>
    </row>
    <row r="1344" spans="1:11" x14ac:dyDescent="0.2">
      <c r="A1344">
        <v>7.4796942829719105E-21</v>
      </c>
      <c r="B1344">
        <v>0.31239850184815299</v>
      </c>
      <c r="C1344">
        <v>0.16700000000000001</v>
      </c>
      <c r="D1344">
        <v>0.01</v>
      </c>
      <c r="E1344">
        <v>1.1580810658325399E-16</v>
      </c>
      <c r="F1344">
        <v>2</v>
      </c>
      <c r="G1344" t="s">
        <v>3591</v>
      </c>
      <c r="H1344" t="s">
        <v>3592</v>
      </c>
      <c r="I1344" t="s">
        <v>3591</v>
      </c>
      <c r="J1344" s="1" t="str">
        <f>HYPERLINK("https://zfin.org/ZDB-GENE-050706-122")</f>
        <v>https://zfin.org/ZDB-GENE-050706-122</v>
      </c>
      <c r="K1344" t="s">
        <v>3593</v>
      </c>
    </row>
    <row r="1345" spans="1:11" x14ac:dyDescent="0.2">
      <c r="A1345">
        <v>7.4960431079179195E-21</v>
      </c>
      <c r="B1345">
        <v>1.02073079346622</v>
      </c>
      <c r="C1345">
        <v>0.86699999999999999</v>
      </c>
      <c r="D1345">
        <v>0.41199999999999998</v>
      </c>
      <c r="E1345">
        <v>1.1606123543989301E-16</v>
      </c>
      <c r="F1345">
        <v>2</v>
      </c>
      <c r="G1345" t="s">
        <v>672</v>
      </c>
      <c r="H1345" t="s">
        <v>673</v>
      </c>
      <c r="I1345" t="s">
        <v>672</v>
      </c>
      <c r="J1345" s="1" t="str">
        <f>HYPERLINK("https://zfin.org/ZDB-GENE-040426-1986")</f>
        <v>https://zfin.org/ZDB-GENE-040426-1986</v>
      </c>
      <c r="K1345" t="s">
        <v>674</v>
      </c>
    </row>
    <row r="1346" spans="1:11" x14ac:dyDescent="0.2">
      <c r="A1346">
        <v>8.3996822026584793E-21</v>
      </c>
      <c r="B1346">
        <v>0.30129220304423399</v>
      </c>
      <c r="C1346">
        <v>0.16700000000000001</v>
      </c>
      <c r="D1346">
        <v>0.01</v>
      </c>
      <c r="E1346">
        <v>1.3005227954376101E-16</v>
      </c>
      <c r="F1346">
        <v>2</v>
      </c>
      <c r="G1346" t="s">
        <v>3594</v>
      </c>
      <c r="H1346" t="s">
        <v>3595</v>
      </c>
      <c r="I1346" t="s">
        <v>3594</v>
      </c>
      <c r="J1346" s="1" t="str">
        <f>HYPERLINK("https://zfin.org/ZDB-GENE-050417-356")</f>
        <v>https://zfin.org/ZDB-GENE-050417-356</v>
      </c>
      <c r="K1346" t="s">
        <v>3596</v>
      </c>
    </row>
    <row r="1347" spans="1:11" x14ac:dyDescent="0.2">
      <c r="A1347">
        <v>8.5221357911217604E-21</v>
      </c>
      <c r="B1347">
        <v>0.55954823252374697</v>
      </c>
      <c r="C1347">
        <v>0.36699999999999999</v>
      </c>
      <c r="D1347">
        <v>5.7000000000000002E-2</v>
      </c>
      <c r="E1347">
        <v>1.3194822845393799E-16</v>
      </c>
      <c r="F1347">
        <v>2</v>
      </c>
      <c r="G1347" t="s">
        <v>3597</v>
      </c>
      <c r="H1347" t="s">
        <v>3598</v>
      </c>
      <c r="I1347" t="s">
        <v>3597</v>
      </c>
      <c r="J1347" s="1" t="str">
        <f>HYPERLINK("https://zfin.org/ZDB-GENE-040426-2319")</f>
        <v>https://zfin.org/ZDB-GENE-040426-2319</v>
      </c>
      <c r="K1347" t="s">
        <v>3599</v>
      </c>
    </row>
    <row r="1348" spans="1:11" x14ac:dyDescent="0.2">
      <c r="A1348">
        <v>9.0616935143421704E-21</v>
      </c>
      <c r="B1348">
        <v>1.0911874251431</v>
      </c>
      <c r="C1348">
        <v>0.51700000000000002</v>
      </c>
      <c r="D1348">
        <v>0.11</v>
      </c>
      <c r="E1348">
        <v>1.4030220068256001E-16</v>
      </c>
      <c r="F1348">
        <v>2</v>
      </c>
      <c r="G1348" t="s">
        <v>3600</v>
      </c>
      <c r="H1348" t="s">
        <v>3601</v>
      </c>
      <c r="I1348" t="s">
        <v>3600</v>
      </c>
      <c r="J1348" s="1" t="str">
        <f>HYPERLINK("https://zfin.org/ZDB-GENE-980526-114")</f>
        <v>https://zfin.org/ZDB-GENE-980526-114</v>
      </c>
      <c r="K1348" t="s">
        <v>3602</v>
      </c>
    </row>
    <row r="1349" spans="1:11" x14ac:dyDescent="0.2">
      <c r="A1349">
        <v>1.01335058455258E-20</v>
      </c>
      <c r="B1349">
        <v>1.1217383491906501</v>
      </c>
      <c r="C1349">
        <v>0.81699999999999995</v>
      </c>
      <c r="D1349">
        <v>0.33300000000000002</v>
      </c>
      <c r="E1349">
        <v>1.5689707100627601E-16</v>
      </c>
      <c r="F1349">
        <v>2</v>
      </c>
      <c r="G1349" t="s">
        <v>1985</v>
      </c>
      <c r="H1349" t="s">
        <v>1986</v>
      </c>
      <c r="I1349" t="s">
        <v>1985</v>
      </c>
      <c r="J1349" s="1" t="str">
        <f>HYPERLINK("https://zfin.org/ZDB-GENE-030127-1")</f>
        <v>https://zfin.org/ZDB-GENE-030127-1</v>
      </c>
      <c r="K1349" t="s">
        <v>1987</v>
      </c>
    </row>
    <row r="1350" spans="1:11" x14ac:dyDescent="0.2">
      <c r="A1350">
        <v>1.05335210050225E-20</v>
      </c>
      <c r="B1350">
        <v>0.41471813611103298</v>
      </c>
      <c r="C1350">
        <v>0.2</v>
      </c>
      <c r="D1350">
        <v>1.6E-2</v>
      </c>
      <c r="E1350">
        <v>1.6309050572076299E-16</v>
      </c>
      <c r="F1350">
        <v>2</v>
      </c>
      <c r="G1350" t="s">
        <v>3603</v>
      </c>
      <c r="H1350" t="s">
        <v>3604</v>
      </c>
      <c r="I1350" t="s">
        <v>3603</v>
      </c>
      <c r="J1350" s="1" t="str">
        <f>HYPERLINK("https://zfin.org/ZDB-GENE-050913-90")</f>
        <v>https://zfin.org/ZDB-GENE-050913-90</v>
      </c>
      <c r="K1350" t="s">
        <v>3605</v>
      </c>
    </row>
    <row r="1351" spans="1:11" x14ac:dyDescent="0.2">
      <c r="A1351">
        <v>1.09276627949268E-20</v>
      </c>
      <c r="B1351">
        <v>0.66464781499411796</v>
      </c>
      <c r="C1351">
        <v>0.41699999999999998</v>
      </c>
      <c r="D1351">
        <v>7.1999999999999995E-2</v>
      </c>
      <c r="E1351">
        <v>1.69193003053851E-16</v>
      </c>
      <c r="F1351">
        <v>2</v>
      </c>
      <c r="G1351" t="s">
        <v>147</v>
      </c>
      <c r="H1351" t="s">
        <v>148</v>
      </c>
      <c r="I1351" t="s">
        <v>147</v>
      </c>
      <c r="J1351" s="1" t="str">
        <f>HYPERLINK("https://zfin.org/ZDB-GENE-041014-353")</f>
        <v>https://zfin.org/ZDB-GENE-041014-353</v>
      </c>
      <c r="K1351" t="s">
        <v>149</v>
      </c>
    </row>
    <row r="1352" spans="1:11" x14ac:dyDescent="0.2">
      <c r="A1352">
        <v>1.1448577891178E-20</v>
      </c>
      <c r="B1352">
        <v>0.73433289175549998</v>
      </c>
      <c r="C1352">
        <v>0.55000000000000004</v>
      </c>
      <c r="D1352">
        <v>0.123</v>
      </c>
      <c r="E1352">
        <v>1.7725833148910899E-16</v>
      </c>
      <c r="F1352">
        <v>2</v>
      </c>
      <c r="G1352" t="s">
        <v>3606</v>
      </c>
      <c r="H1352" t="s">
        <v>3607</v>
      </c>
      <c r="I1352" t="s">
        <v>3606</v>
      </c>
      <c r="J1352" s="1" t="str">
        <f>HYPERLINK("https://zfin.org/ZDB-GENE-040426-904")</f>
        <v>https://zfin.org/ZDB-GENE-040426-904</v>
      </c>
      <c r="K1352" t="s">
        <v>3608</v>
      </c>
    </row>
    <row r="1353" spans="1:11" x14ac:dyDescent="0.2">
      <c r="A1353">
        <v>1.15012094198469E-20</v>
      </c>
      <c r="B1353">
        <v>0.84274899372979095</v>
      </c>
      <c r="C1353">
        <v>0.73299999999999998</v>
      </c>
      <c r="D1353">
        <v>0.22500000000000001</v>
      </c>
      <c r="E1353">
        <v>1.7807322544748999E-16</v>
      </c>
      <c r="F1353">
        <v>2</v>
      </c>
      <c r="G1353" t="s">
        <v>462</v>
      </c>
      <c r="H1353" t="s">
        <v>463</v>
      </c>
      <c r="I1353" t="s">
        <v>462</v>
      </c>
      <c r="J1353" s="1" t="str">
        <f>HYPERLINK("https://zfin.org/ZDB-GENE-060825-160")</f>
        <v>https://zfin.org/ZDB-GENE-060825-160</v>
      </c>
      <c r="K1353" t="s">
        <v>464</v>
      </c>
    </row>
    <row r="1354" spans="1:11" x14ac:dyDescent="0.2">
      <c r="A1354">
        <v>1.47877002750842E-20</v>
      </c>
      <c r="B1354">
        <v>0.50234960110795102</v>
      </c>
      <c r="C1354">
        <v>0.28299999999999997</v>
      </c>
      <c r="D1354">
        <v>3.4000000000000002E-2</v>
      </c>
      <c r="E1354">
        <v>2.2895796335912899E-16</v>
      </c>
      <c r="F1354">
        <v>2</v>
      </c>
      <c r="G1354" t="s">
        <v>525</v>
      </c>
      <c r="H1354" t="s">
        <v>526</v>
      </c>
      <c r="I1354" t="s">
        <v>525</v>
      </c>
      <c r="J1354" s="1" t="str">
        <f>HYPERLINK("https://zfin.org/ZDB-GENE-060929-128")</f>
        <v>https://zfin.org/ZDB-GENE-060929-128</v>
      </c>
      <c r="K1354" t="s">
        <v>527</v>
      </c>
    </row>
    <row r="1355" spans="1:11" x14ac:dyDescent="0.2">
      <c r="A1355">
        <v>1.5428293323349299E-20</v>
      </c>
      <c r="B1355">
        <v>0.72491299907318996</v>
      </c>
      <c r="C1355">
        <v>0.35</v>
      </c>
      <c r="D1355">
        <v>5.3999999999999999E-2</v>
      </c>
      <c r="E1355">
        <v>2.3887626552541798E-16</v>
      </c>
      <c r="F1355">
        <v>2</v>
      </c>
      <c r="G1355" t="s">
        <v>1068</v>
      </c>
      <c r="H1355" t="s">
        <v>1069</v>
      </c>
      <c r="I1355" t="s">
        <v>1068</v>
      </c>
      <c r="J1355" s="1" t="str">
        <f>HYPERLINK("https://zfin.org/ZDB-GENE-030131-1986")</f>
        <v>https://zfin.org/ZDB-GENE-030131-1986</v>
      </c>
      <c r="K1355" t="s">
        <v>1070</v>
      </c>
    </row>
    <row r="1356" spans="1:11" x14ac:dyDescent="0.2">
      <c r="A1356">
        <v>1.70547476553611E-20</v>
      </c>
      <c r="B1356">
        <v>0.44048193236245198</v>
      </c>
      <c r="C1356">
        <v>0.33300000000000002</v>
      </c>
      <c r="D1356">
        <v>4.7E-2</v>
      </c>
      <c r="E1356">
        <v>2.6405865794795702E-16</v>
      </c>
      <c r="F1356">
        <v>2</v>
      </c>
      <c r="G1356" t="s">
        <v>979</v>
      </c>
      <c r="H1356" t="s">
        <v>980</v>
      </c>
      <c r="I1356" t="s">
        <v>979</v>
      </c>
      <c r="J1356" s="1" t="str">
        <f>HYPERLINK("https://zfin.org/ZDB-GENE-050616-1")</f>
        <v>https://zfin.org/ZDB-GENE-050616-1</v>
      </c>
      <c r="K1356" t="s">
        <v>981</v>
      </c>
    </row>
    <row r="1357" spans="1:11" x14ac:dyDescent="0.2">
      <c r="A1357">
        <v>1.9322439234051701E-20</v>
      </c>
      <c r="B1357">
        <v>0.35424465302696601</v>
      </c>
      <c r="C1357">
        <v>0.217</v>
      </c>
      <c r="D1357">
        <v>1.9E-2</v>
      </c>
      <c r="E1357">
        <v>2.9916932666082299E-16</v>
      </c>
      <c r="F1357">
        <v>2</v>
      </c>
      <c r="G1357" t="s">
        <v>1369</v>
      </c>
      <c r="H1357" t="s">
        <v>1370</v>
      </c>
      <c r="I1357" t="s">
        <v>1369</v>
      </c>
      <c r="J1357" s="1" t="str">
        <f>HYPERLINK("https://zfin.org/ZDB-GENE-040718-390")</f>
        <v>https://zfin.org/ZDB-GENE-040718-390</v>
      </c>
      <c r="K1357" t="s">
        <v>1371</v>
      </c>
    </row>
    <row r="1358" spans="1:11" x14ac:dyDescent="0.2">
      <c r="A1358">
        <v>1.97836475479353E-20</v>
      </c>
      <c r="B1358">
        <v>0.317193466500929</v>
      </c>
      <c r="C1358">
        <v>0.15</v>
      </c>
      <c r="D1358">
        <v>8.0000000000000002E-3</v>
      </c>
      <c r="E1358">
        <v>3.06310214984682E-16</v>
      </c>
      <c r="F1358">
        <v>2</v>
      </c>
      <c r="G1358" t="s">
        <v>3609</v>
      </c>
      <c r="H1358" t="s">
        <v>3610</v>
      </c>
      <c r="I1358" t="s">
        <v>3609</v>
      </c>
      <c r="J1358" s="1" t="str">
        <f>HYPERLINK("https://zfin.org/ZDB-GENE-050720-3")</f>
        <v>https://zfin.org/ZDB-GENE-050720-3</v>
      </c>
      <c r="K1358" t="s">
        <v>3611</v>
      </c>
    </row>
    <row r="1359" spans="1:11" x14ac:dyDescent="0.2">
      <c r="A1359">
        <v>2.10702584682223E-20</v>
      </c>
      <c r="B1359">
        <v>0.84714025097506496</v>
      </c>
      <c r="C1359">
        <v>0.41699999999999998</v>
      </c>
      <c r="D1359">
        <v>7.4999999999999997E-2</v>
      </c>
      <c r="E1359">
        <v>3.2623081186348601E-16</v>
      </c>
      <c r="F1359">
        <v>2</v>
      </c>
      <c r="G1359" t="s">
        <v>112</v>
      </c>
      <c r="H1359" t="s">
        <v>113</v>
      </c>
      <c r="I1359" t="s">
        <v>112</v>
      </c>
      <c r="J1359" s="1" t="str">
        <f>HYPERLINK("https://zfin.org/ZDB-GENE-041014-83")</f>
        <v>https://zfin.org/ZDB-GENE-041014-83</v>
      </c>
      <c r="K1359" t="s">
        <v>114</v>
      </c>
    </row>
    <row r="1360" spans="1:11" x14ac:dyDescent="0.2">
      <c r="A1360">
        <v>2.8640451367094801E-20</v>
      </c>
      <c r="B1360">
        <v>1.47415791936706</v>
      </c>
      <c r="C1360">
        <v>0.66700000000000004</v>
      </c>
      <c r="D1360">
        <v>0.192</v>
      </c>
      <c r="E1360">
        <v>4.4344010851672801E-16</v>
      </c>
      <c r="F1360">
        <v>2</v>
      </c>
      <c r="G1360" t="s">
        <v>246</v>
      </c>
      <c r="H1360" t="s">
        <v>247</v>
      </c>
      <c r="I1360" t="s">
        <v>246</v>
      </c>
      <c r="J1360" s="1" t="str">
        <f>HYPERLINK("https://zfin.org/")</f>
        <v>https://zfin.org/</v>
      </c>
    </row>
    <row r="1361" spans="1:11" x14ac:dyDescent="0.2">
      <c r="A1361">
        <v>2.9846617816782599E-20</v>
      </c>
      <c r="B1361">
        <v>0.90508126642249498</v>
      </c>
      <c r="C1361">
        <v>0.75</v>
      </c>
      <c r="D1361">
        <v>0.248</v>
      </c>
      <c r="E1361">
        <v>4.6211518365724503E-16</v>
      </c>
      <c r="F1361">
        <v>2</v>
      </c>
      <c r="G1361" t="s">
        <v>1808</v>
      </c>
      <c r="H1361" t="s">
        <v>1809</v>
      </c>
      <c r="I1361" t="s">
        <v>1808</v>
      </c>
      <c r="J1361" s="1" t="str">
        <f>HYPERLINK("https://zfin.org/ZDB-GENE-030826-21")</f>
        <v>https://zfin.org/ZDB-GENE-030826-21</v>
      </c>
      <c r="K1361" t="s">
        <v>1810</v>
      </c>
    </row>
    <row r="1362" spans="1:11" x14ac:dyDescent="0.2">
      <c r="A1362">
        <v>3.1751806608360299E-20</v>
      </c>
      <c r="B1362">
        <v>-1.7634784826160901</v>
      </c>
      <c r="C1362">
        <v>0.58299999999999996</v>
      </c>
      <c r="D1362">
        <v>0.874</v>
      </c>
      <c r="E1362">
        <v>4.9161322171724204E-16</v>
      </c>
      <c r="F1362">
        <v>2</v>
      </c>
      <c r="G1362" t="s">
        <v>1739</v>
      </c>
      <c r="H1362" t="s">
        <v>1740</v>
      </c>
      <c r="I1362" t="s">
        <v>1739</v>
      </c>
      <c r="J1362" s="1" t="str">
        <f>HYPERLINK("https://zfin.org/ZDB-GENE-030131-8304")</f>
        <v>https://zfin.org/ZDB-GENE-030131-8304</v>
      </c>
      <c r="K1362" t="s">
        <v>1741</v>
      </c>
    </row>
    <row r="1363" spans="1:11" x14ac:dyDescent="0.2">
      <c r="A1363">
        <v>4.4101682944388201E-20</v>
      </c>
      <c r="B1363">
        <v>0.59129514063653699</v>
      </c>
      <c r="C1363">
        <v>0.33300000000000002</v>
      </c>
      <c r="D1363">
        <v>4.9000000000000002E-2</v>
      </c>
      <c r="E1363">
        <v>6.8282635702796196E-16</v>
      </c>
      <c r="F1363">
        <v>2</v>
      </c>
      <c r="G1363" t="s">
        <v>296</v>
      </c>
      <c r="H1363" t="s">
        <v>297</v>
      </c>
      <c r="I1363" t="s">
        <v>296</v>
      </c>
      <c r="J1363" s="1" t="str">
        <f>HYPERLINK("https://zfin.org/ZDB-GENE-070822-21")</f>
        <v>https://zfin.org/ZDB-GENE-070822-21</v>
      </c>
      <c r="K1363" t="s">
        <v>298</v>
      </c>
    </row>
    <row r="1364" spans="1:11" x14ac:dyDescent="0.2">
      <c r="A1364">
        <v>4.4409277234604098E-20</v>
      </c>
      <c r="B1364">
        <v>0.77259614576499702</v>
      </c>
      <c r="C1364">
        <v>1</v>
      </c>
      <c r="D1364">
        <v>0.65800000000000003</v>
      </c>
      <c r="E1364">
        <v>6.8758883942337503E-16</v>
      </c>
      <c r="F1364">
        <v>2</v>
      </c>
      <c r="G1364" t="s">
        <v>2808</v>
      </c>
      <c r="H1364" t="s">
        <v>2809</v>
      </c>
      <c r="I1364" t="s">
        <v>2808</v>
      </c>
      <c r="J1364" s="1" t="str">
        <f>HYPERLINK("https://zfin.org/ZDB-GENE-131120-154")</f>
        <v>https://zfin.org/ZDB-GENE-131120-154</v>
      </c>
      <c r="K1364" t="s">
        <v>2810</v>
      </c>
    </row>
    <row r="1365" spans="1:11" x14ac:dyDescent="0.2">
      <c r="A1365">
        <v>4.6475148769177801E-20</v>
      </c>
      <c r="B1365">
        <v>0.409573371121147</v>
      </c>
      <c r="C1365">
        <v>0.33300000000000002</v>
      </c>
      <c r="D1365">
        <v>4.7E-2</v>
      </c>
      <c r="E1365">
        <v>7.1957472839317998E-16</v>
      </c>
      <c r="F1365">
        <v>2</v>
      </c>
      <c r="G1365" t="s">
        <v>962</v>
      </c>
      <c r="H1365" t="s">
        <v>963</v>
      </c>
      <c r="I1365" t="s">
        <v>962</v>
      </c>
      <c r="J1365" s="1" t="str">
        <f>HYPERLINK("https://zfin.org/ZDB-GENE-090313-269")</f>
        <v>https://zfin.org/ZDB-GENE-090313-269</v>
      </c>
      <c r="K1365" t="s">
        <v>964</v>
      </c>
    </row>
    <row r="1366" spans="1:11" x14ac:dyDescent="0.2">
      <c r="A1366">
        <v>5.3648481758249703E-20</v>
      </c>
      <c r="B1366">
        <v>0.48354898184504602</v>
      </c>
      <c r="C1366">
        <v>0.33300000000000002</v>
      </c>
      <c r="D1366">
        <v>4.7E-2</v>
      </c>
      <c r="E1366">
        <v>8.3063944306297998E-16</v>
      </c>
      <c r="F1366">
        <v>2</v>
      </c>
      <c r="G1366" t="s">
        <v>3612</v>
      </c>
      <c r="H1366" t="s">
        <v>3613</v>
      </c>
      <c r="I1366" t="s">
        <v>3612</v>
      </c>
      <c r="J1366" s="1" t="str">
        <f>HYPERLINK("https://zfin.org/ZDB-GENE-060130-180")</f>
        <v>https://zfin.org/ZDB-GENE-060130-180</v>
      </c>
      <c r="K1366" t="s">
        <v>3614</v>
      </c>
    </row>
    <row r="1367" spans="1:11" x14ac:dyDescent="0.2">
      <c r="A1367">
        <v>7.4177993509189998E-20</v>
      </c>
      <c r="B1367">
        <v>0.53374304343413403</v>
      </c>
      <c r="C1367">
        <v>0.28299999999999997</v>
      </c>
      <c r="D1367">
        <v>3.5000000000000003E-2</v>
      </c>
      <c r="E1367">
        <v>1.1484978735027899E-15</v>
      </c>
      <c r="F1367">
        <v>2</v>
      </c>
      <c r="G1367" t="s">
        <v>3615</v>
      </c>
      <c r="H1367" t="s">
        <v>3616</v>
      </c>
      <c r="I1367" t="s">
        <v>3615</v>
      </c>
      <c r="J1367" s="1" t="str">
        <f>HYPERLINK("https://zfin.org/ZDB-GENE-080723-31")</f>
        <v>https://zfin.org/ZDB-GENE-080723-31</v>
      </c>
      <c r="K1367" t="s">
        <v>3617</v>
      </c>
    </row>
    <row r="1368" spans="1:11" x14ac:dyDescent="0.2">
      <c r="A1368">
        <v>7.9733490960740698E-20</v>
      </c>
      <c r="B1368">
        <v>0.71606728934464703</v>
      </c>
      <c r="C1368">
        <v>0.55000000000000004</v>
      </c>
      <c r="D1368">
        <v>0.129</v>
      </c>
      <c r="E1368">
        <v>1.23451364054515E-15</v>
      </c>
      <c r="F1368">
        <v>2</v>
      </c>
      <c r="G1368" t="s">
        <v>3618</v>
      </c>
      <c r="H1368" t="s">
        <v>3619</v>
      </c>
      <c r="I1368" t="s">
        <v>3618</v>
      </c>
      <c r="J1368" s="1" t="str">
        <f>HYPERLINK("https://zfin.org/ZDB-GENE-030131-2426")</f>
        <v>https://zfin.org/ZDB-GENE-030131-2426</v>
      </c>
      <c r="K1368" t="s">
        <v>3620</v>
      </c>
    </row>
    <row r="1369" spans="1:11" x14ac:dyDescent="0.2">
      <c r="A1369">
        <v>9.8115965489640297E-20</v>
      </c>
      <c r="B1369">
        <v>0.71184145547295097</v>
      </c>
      <c r="C1369">
        <v>0.46700000000000003</v>
      </c>
      <c r="D1369">
        <v>9.7000000000000003E-2</v>
      </c>
      <c r="E1369">
        <v>1.5191294936761001E-15</v>
      </c>
      <c r="F1369">
        <v>2</v>
      </c>
      <c r="G1369" t="s">
        <v>355</v>
      </c>
      <c r="H1369" t="s">
        <v>356</v>
      </c>
      <c r="I1369" t="s">
        <v>355</v>
      </c>
      <c r="J1369" s="1" t="str">
        <f>HYPERLINK("https://zfin.org/ZDB-GENE-021022-2")</f>
        <v>https://zfin.org/ZDB-GENE-021022-2</v>
      </c>
      <c r="K1369" t="s">
        <v>357</v>
      </c>
    </row>
    <row r="1370" spans="1:11" x14ac:dyDescent="0.2">
      <c r="A1370">
        <v>1.1533314553461901E-19</v>
      </c>
      <c r="B1370">
        <v>0.63851521360375996</v>
      </c>
      <c r="C1370">
        <v>0.4</v>
      </c>
      <c r="D1370">
        <v>7.1999999999999995E-2</v>
      </c>
      <c r="E1370">
        <v>1.7857030923125E-15</v>
      </c>
      <c r="F1370">
        <v>2</v>
      </c>
      <c r="G1370" t="s">
        <v>79</v>
      </c>
      <c r="H1370" t="s">
        <v>80</v>
      </c>
      <c r="I1370" t="s">
        <v>79</v>
      </c>
      <c r="J1370" s="1" t="str">
        <f>HYPERLINK("https://zfin.org/ZDB-GENE-040704-24")</f>
        <v>https://zfin.org/ZDB-GENE-040704-24</v>
      </c>
      <c r="K1370" t="s">
        <v>81</v>
      </c>
    </row>
    <row r="1371" spans="1:11" x14ac:dyDescent="0.2">
      <c r="A1371">
        <v>1.1658942987472701E-19</v>
      </c>
      <c r="B1371">
        <v>0.68836240276593996</v>
      </c>
      <c r="C1371">
        <v>0.35</v>
      </c>
      <c r="D1371">
        <v>5.5E-2</v>
      </c>
      <c r="E1371">
        <v>1.8051541427503902E-15</v>
      </c>
      <c r="F1371">
        <v>2</v>
      </c>
      <c r="G1371" t="s">
        <v>2239</v>
      </c>
      <c r="H1371" t="s">
        <v>2240</v>
      </c>
      <c r="I1371" t="s">
        <v>2239</v>
      </c>
      <c r="J1371" s="1" t="str">
        <f>HYPERLINK("https://zfin.org/ZDB-GENE-040718-278")</f>
        <v>https://zfin.org/ZDB-GENE-040718-278</v>
      </c>
      <c r="K1371" t="s">
        <v>2241</v>
      </c>
    </row>
    <row r="1372" spans="1:11" x14ac:dyDescent="0.2">
      <c r="A1372">
        <v>1.25733683332943E-19</v>
      </c>
      <c r="B1372">
        <v>0.57403123953401303</v>
      </c>
      <c r="C1372">
        <v>0.2</v>
      </c>
      <c r="D1372">
        <v>1.7000000000000001E-2</v>
      </c>
      <c r="E1372">
        <v>1.9467346190439498E-15</v>
      </c>
      <c r="F1372">
        <v>2</v>
      </c>
      <c r="G1372" t="s">
        <v>3621</v>
      </c>
      <c r="H1372" t="s">
        <v>3622</v>
      </c>
      <c r="I1372" t="s">
        <v>3621</v>
      </c>
      <c r="J1372" s="1" t="str">
        <f>HYPERLINK("https://zfin.org/ZDB-GENE-000125-4")</f>
        <v>https://zfin.org/ZDB-GENE-000125-4</v>
      </c>
      <c r="K1372" t="s">
        <v>3623</v>
      </c>
    </row>
    <row r="1373" spans="1:11" x14ac:dyDescent="0.2">
      <c r="A1373">
        <v>1.58602300344791E-19</v>
      </c>
      <c r="B1373">
        <v>0.64037518929224102</v>
      </c>
      <c r="C1373">
        <v>0.317</v>
      </c>
      <c r="D1373">
        <v>4.5999999999999999E-2</v>
      </c>
      <c r="E1373">
        <v>2.45563941623839E-15</v>
      </c>
      <c r="F1373">
        <v>2</v>
      </c>
      <c r="G1373" t="s">
        <v>1441</v>
      </c>
      <c r="H1373" t="s">
        <v>1442</v>
      </c>
      <c r="I1373" t="s">
        <v>1441</v>
      </c>
      <c r="J1373" s="1" t="str">
        <f>HYPERLINK("https://zfin.org/ZDB-GENE-020228-2")</f>
        <v>https://zfin.org/ZDB-GENE-020228-2</v>
      </c>
      <c r="K1373" t="s">
        <v>1443</v>
      </c>
    </row>
    <row r="1374" spans="1:11" x14ac:dyDescent="0.2">
      <c r="A1374">
        <v>2.4118877162858599E-19</v>
      </c>
      <c r="B1374">
        <v>0.97740342009190395</v>
      </c>
      <c r="C1374">
        <v>0.86699999999999999</v>
      </c>
      <c r="D1374">
        <v>0.45400000000000001</v>
      </c>
      <c r="E1374">
        <v>3.7343257511254001E-15</v>
      </c>
      <c r="F1374">
        <v>2</v>
      </c>
      <c r="G1374" t="s">
        <v>1573</v>
      </c>
      <c r="H1374" t="s">
        <v>1574</v>
      </c>
      <c r="I1374" t="s">
        <v>1573</v>
      </c>
      <c r="J1374" s="1" t="str">
        <f>HYPERLINK("https://zfin.org/ZDB-GENE-040426-1966")</f>
        <v>https://zfin.org/ZDB-GENE-040426-1966</v>
      </c>
      <c r="K1374" t="s">
        <v>1575</v>
      </c>
    </row>
    <row r="1375" spans="1:11" x14ac:dyDescent="0.2">
      <c r="A1375">
        <v>2.51019163235396E-19</v>
      </c>
      <c r="B1375">
        <v>0.46408657962660599</v>
      </c>
      <c r="C1375">
        <v>0.3</v>
      </c>
      <c r="D1375">
        <v>0.04</v>
      </c>
      <c r="E1375">
        <v>3.8865297043736402E-15</v>
      </c>
      <c r="F1375">
        <v>2</v>
      </c>
      <c r="G1375" t="s">
        <v>495</v>
      </c>
      <c r="H1375" t="s">
        <v>496</v>
      </c>
      <c r="I1375" t="s">
        <v>495</v>
      </c>
      <c r="J1375" s="1" t="str">
        <f>HYPERLINK("https://zfin.org/ZDB-GENE-041114-110")</f>
        <v>https://zfin.org/ZDB-GENE-041114-110</v>
      </c>
      <c r="K1375" t="s">
        <v>497</v>
      </c>
    </row>
    <row r="1376" spans="1:11" x14ac:dyDescent="0.2">
      <c r="A1376">
        <v>2.9927206296282998E-19</v>
      </c>
      <c r="B1376">
        <v>0.58707217183458504</v>
      </c>
      <c r="C1376">
        <v>0.317</v>
      </c>
      <c r="D1376">
        <v>4.5999999999999999E-2</v>
      </c>
      <c r="E1376">
        <v>4.6336293508534998E-15</v>
      </c>
      <c r="F1376">
        <v>2</v>
      </c>
      <c r="G1376" t="s">
        <v>516</v>
      </c>
      <c r="H1376" t="s">
        <v>517</v>
      </c>
      <c r="I1376" t="s">
        <v>516</v>
      </c>
      <c r="J1376" s="1" t="str">
        <f>HYPERLINK("https://zfin.org/ZDB-GENE-160114-44")</f>
        <v>https://zfin.org/ZDB-GENE-160114-44</v>
      </c>
      <c r="K1376" t="s">
        <v>518</v>
      </c>
    </row>
    <row r="1377" spans="1:11" x14ac:dyDescent="0.2">
      <c r="A1377">
        <v>3.1795242908889701E-19</v>
      </c>
      <c r="B1377">
        <v>0.642311605015916</v>
      </c>
      <c r="C1377">
        <v>0.36699999999999999</v>
      </c>
      <c r="D1377">
        <v>0.06</v>
      </c>
      <c r="E1377">
        <v>4.9228574595833901E-15</v>
      </c>
      <c r="F1377">
        <v>2</v>
      </c>
      <c r="G1377" t="s">
        <v>346</v>
      </c>
      <c r="H1377" t="s">
        <v>347</v>
      </c>
      <c r="I1377" t="s">
        <v>346</v>
      </c>
      <c r="J1377" s="1" t="str">
        <f>HYPERLINK("https://zfin.org/ZDB-GENE-090313-121")</f>
        <v>https://zfin.org/ZDB-GENE-090313-121</v>
      </c>
      <c r="K1377" t="s">
        <v>348</v>
      </c>
    </row>
    <row r="1378" spans="1:11" x14ac:dyDescent="0.2">
      <c r="A1378">
        <v>3.6112722847280999E-19</v>
      </c>
      <c r="B1378">
        <v>0.56465628515995503</v>
      </c>
      <c r="C1378">
        <v>0.41699999999999998</v>
      </c>
      <c r="D1378">
        <v>7.6999999999999999E-2</v>
      </c>
      <c r="E1378">
        <v>5.5913328784445197E-15</v>
      </c>
      <c r="F1378">
        <v>2</v>
      </c>
      <c r="G1378" t="s">
        <v>1826</v>
      </c>
      <c r="H1378" t="s">
        <v>1827</v>
      </c>
      <c r="I1378" t="s">
        <v>1826</v>
      </c>
      <c r="J1378" s="1" t="str">
        <f>HYPERLINK("https://zfin.org/ZDB-GENE-040718-81")</f>
        <v>https://zfin.org/ZDB-GENE-040718-81</v>
      </c>
      <c r="K1378" t="s">
        <v>1828</v>
      </c>
    </row>
    <row r="1379" spans="1:11" x14ac:dyDescent="0.2">
      <c r="A1379">
        <v>5.5924401500961405E-19</v>
      </c>
      <c r="B1379">
        <v>0.489176441248792</v>
      </c>
      <c r="C1379">
        <v>0.26700000000000002</v>
      </c>
      <c r="D1379">
        <v>3.3000000000000002E-2</v>
      </c>
      <c r="E1379">
        <v>8.6587750843938597E-15</v>
      </c>
      <c r="F1379">
        <v>2</v>
      </c>
      <c r="G1379" t="s">
        <v>453</v>
      </c>
      <c r="H1379" t="s">
        <v>454</v>
      </c>
      <c r="I1379" t="s">
        <v>453</v>
      </c>
      <c r="J1379" s="1" t="str">
        <f>HYPERLINK("https://zfin.org/ZDB-GENE-130530-597")</f>
        <v>https://zfin.org/ZDB-GENE-130530-597</v>
      </c>
      <c r="K1379" t="s">
        <v>455</v>
      </c>
    </row>
    <row r="1380" spans="1:11" x14ac:dyDescent="0.2">
      <c r="A1380">
        <v>5.6668845099633898E-19</v>
      </c>
      <c r="B1380">
        <v>0.38604245285800698</v>
      </c>
      <c r="C1380">
        <v>0.4</v>
      </c>
      <c r="D1380">
        <v>6.8000000000000005E-2</v>
      </c>
      <c r="E1380">
        <v>8.7740372867763205E-15</v>
      </c>
      <c r="F1380">
        <v>2</v>
      </c>
      <c r="G1380" t="s">
        <v>3624</v>
      </c>
      <c r="H1380" t="s">
        <v>3625</v>
      </c>
      <c r="I1380" t="s">
        <v>3624</v>
      </c>
      <c r="J1380" s="1" t="str">
        <f>HYPERLINK("https://zfin.org/ZDB-GENE-040718-430")</f>
        <v>https://zfin.org/ZDB-GENE-040718-430</v>
      </c>
      <c r="K1380" t="s">
        <v>3626</v>
      </c>
    </row>
    <row r="1381" spans="1:11" x14ac:dyDescent="0.2">
      <c r="A1381">
        <v>6.2092389871906901E-19</v>
      </c>
      <c r="B1381">
        <v>0.55599529825527205</v>
      </c>
      <c r="C1381">
        <v>0.33300000000000002</v>
      </c>
      <c r="D1381">
        <v>5.1999999999999998E-2</v>
      </c>
      <c r="E1381">
        <v>9.6137647238673403E-15</v>
      </c>
      <c r="F1381">
        <v>2</v>
      </c>
      <c r="G1381" t="s">
        <v>287</v>
      </c>
      <c r="H1381" t="s">
        <v>288</v>
      </c>
      <c r="I1381" t="s">
        <v>287</v>
      </c>
      <c r="J1381" s="1" t="str">
        <f>HYPERLINK("https://zfin.org/ZDB-GENE-030131-8225")</f>
        <v>https://zfin.org/ZDB-GENE-030131-8225</v>
      </c>
      <c r="K1381" t="s">
        <v>289</v>
      </c>
    </row>
    <row r="1382" spans="1:11" x14ac:dyDescent="0.2">
      <c r="A1382">
        <v>6.88341185894247E-19</v>
      </c>
      <c r="B1382">
        <v>0.89508083210164202</v>
      </c>
      <c r="C1382">
        <v>0.7</v>
      </c>
      <c r="D1382">
        <v>0.23799999999999999</v>
      </c>
      <c r="E1382">
        <v>1.06575865812006E-14</v>
      </c>
      <c r="F1382">
        <v>2</v>
      </c>
      <c r="G1382" t="s">
        <v>1910</v>
      </c>
      <c r="H1382" t="s">
        <v>1911</v>
      </c>
      <c r="I1382" t="s">
        <v>1910</v>
      </c>
      <c r="J1382" s="1" t="str">
        <f>HYPERLINK("https://zfin.org/ZDB-GENE-050706-71")</f>
        <v>https://zfin.org/ZDB-GENE-050706-71</v>
      </c>
      <c r="K1382" t="s">
        <v>1912</v>
      </c>
    </row>
    <row r="1383" spans="1:11" x14ac:dyDescent="0.2">
      <c r="A1383">
        <v>7.1437677585064495E-19</v>
      </c>
      <c r="B1383">
        <v>0.32776929739921201</v>
      </c>
      <c r="C1383">
        <v>0.13300000000000001</v>
      </c>
      <c r="D1383">
        <v>7.0000000000000001E-3</v>
      </c>
      <c r="E1383">
        <v>1.1060695620495499E-14</v>
      </c>
      <c r="F1383">
        <v>2</v>
      </c>
      <c r="G1383" t="s">
        <v>3627</v>
      </c>
      <c r="H1383" t="s">
        <v>3628</v>
      </c>
      <c r="I1383" t="s">
        <v>3627</v>
      </c>
      <c r="J1383" s="1" t="str">
        <f>HYPERLINK("https://zfin.org/")</f>
        <v>https://zfin.org/</v>
      </c>
    </row>
    <row r="1384" spans="1:11" x14ac:dyDescent="0.2">
      <c r="A1384">
        <v>7.2941402499554403E-19</v>
      </c>
      <c r="B1384">
        <v>0.39148575940743302</v>
      </c>
      <c r="C1384">
        <v>0.217</v>
      </c>
      <c r="D1384">
        <v>2.1000000000000001E-2</v>
      </c>
      <c r="E1384">
        <v>1.1293517349006E-14</v>
      </c>
      <c r="F1384">
        <v>2</v>
      </c>
      <c r="G1384" t="s">
        <v>1864</v>
      </c>
      <c r="H1384" t="s">
        <v>1865</v>
      </c>
      <c r="I1384" t="s">
        <v>1864</v>
      </c>
      <c r="J1384" s="1" t="str">
        <f>HYPERLINK("https://zfin.org/")</f>
        <v>https://zfin.org/</v>
      </c>
      <c r="K1384" t="s">
        <v>1866</v>
      </c>
    </row>
    <row r="1385" spans="1:11" x14ac:dyDescent="0.2">
      <c r="A1385">
        <v>7.3737401463660902E-19</v>
      </c>
      <c r="B1385">
        <v>-1.68055811395684</v>
      </c>
      <c r="C1385">
        <v>0.15</v>
      </c>
      <c r="D1385">
        <v>0.73199999999999998</v>
      </c>
      <c r="E1385">
        <v>1.14167618686186E-14</v>
      </c>
      <c r="F1385">
        <v>2</v>
      </c>
      <c r="G1385" t="s">
        <v>2009</v>
      </c>
      <c r="H1385" t="s">
        <v>2010</v>
      </c>
      <c r="I1385" t="s">
        <v>2009</v>
      </c>
      <c r="J1385" s="1" t="str">
        <f>HYPERLINK("https://zfin.org/ZDB-GENE-120215-258")</f>
        <v>https://zfin.org/ZDB-GENE-120215-258</v>
      </c>
      <c r="K1385" t="s">
        <v>2011</v>
      </c>
    </row>
    <row r="1386" spans="1:11" x14ac:dyDescent="0.2">
      <c r="A1386">
        <v>7.5753094589824404E-19</v>
      </c>
      <c r="B1386">
        <v>0.92250004782469197</v>
      </c>
      <c r="C1386">
        <v>0.76700000000000002</v>
      </c>
      <c r="D1386">
        <v>0.29599999999999999</v>
      </c>
      <c r="E1386">
        <v>1.17288516353425E-14</v>
      </c>
      <c r="F1386">
        <v>2</v>
      </c>
      <c r="G1386" t="s">
        <v>3629</v>
      </c>
      <c r="H1386" t="s">
        <v>3630</v>
      </c>
      <c r="I1386" t="s">
        <v>3629</v>
      </c>
      <c r="J1386" s="1" t="str">
        <f>HYPERLINK("https://zfin.org/ZDB-GENE-040426-1444")</f>
        <v>https://zfin.org/ZDB-GENE-040426-1444</v>
      </c>
      <c r="K1386" t="s">
        <v>3631</v>
      </c>
    </row>
    <row r="1387" spans="1:11" x14ac:dyDescent="0.2">
      <c r="A1387">
        <v>7.8169437023074996E-19</v>
      </c>
      <c r="B1387">
        <v>0.54627064234281097</v>
      </c>
      <c r="C1387">
        <v>0.3</v>
      </c>
      <c r="D1387">
        <v>4.2000000000000003E-2</v>
      </c>
      <c r="E1387">
        <v>1.21029739342827E-14</v>
      </c>
      <c r="F1387">
        <v>2</v>
      </c>
      <c r="G1387" t="s">
        <v>1423</v>
      </c>
      <c r="H1387" t="s">
        <v>1424</v>
      </c>
      <c r="I1387" t="s">
        <v>1423</v>
      </c>
      <c r="J1387" s="1" t="str">
        <f>HYPERLINK("https://zfin.org/ZDB-GENE-080225-36")</f>
        <v>https://zfin.org/ZDB-GENE-080225-36</v>
      </c>
      <c r="K1387" t="s">
        <v>1425</v>
      </c>
    </row>
    <row r="1388" spans="1:11" x14ac:dyDescent="0.2">
      <c r="A1388">
        <v>8.4783059173204505E-19</v>
      </c>
      <c r="B1388">
        <v>0.86572997163295196</v>
      </c>
      <c r="C1388">
        <v>0.93300000000000005</v>
      </c>
      <c r="D1388">
        <v>0.46899999999999997</v>
      </c>
      <c r="E1388">
        <v>1.31269610517873E-14</v>
      </c>
      <c r="F1388">
        <v>2</v>
      </c>
      <c r="G1388" t="s">
        <v>1703</v>
      </c>
      <c r="H1388" t="s">
        <v>1704</v>
      </c>
      <c r="I1388" t="s">
        <v>1703</v>
      </c>
      <c r="J1388" s="1" t="str">
        <f>HYPERLINK("https://zfin.org/ZDB-GENE-071015-3")</f>
        <v>https://zfin.org/ZDB-GENE-071015-3</v>
      </c>
      <c r="K1388" t="s">
        <v>1705</v>
      </c>
    </row>
    <row r="1389" spans="1:11" x14ac:dyDescent="0.2">
      <c r="A1389">
        <v>8.4919029106311704E-19</v>
      </c>
      <c r="B1389">
        <v>-1.4616785091788</v>
      </c>
      <c r="C1389">
        <v>0.66700000000000004</v>
      </c>
      <c r="D1389">
        <v>0.88800000000000001</v>
      </c>
      <c r="E1389">
        <v>1.3148013276530201E-14</v>
      </c>
      <c r="F1389">
        <v>2</v>
      </c>
      <c r="G1389" t="s">
        <v>2027</v>
      </c>
      <c r="H1389" t="s">
        <v>2028</v>
      </c>
      <c r="I1389" t="s">
        <v>2027</v>
      </c>
      <c r="J1389" s="1" t="str">
        <f>HYPERLINK("https://zfin.org/ZDB-GENE-000210-15")</f>
        <v>https://zfin.org/ZDB-GENE-000210-15</v>
      </c>
      <c r="K1389" t="s">
        <v>2029</v>
      </c>
    </row>
    <row r="1390" spans="1:11" x14ac:dyDescent="0.2">
      <c r="A1390">
        <v>8.8201839971651601E-19</v>
      </c>
      <c r="B1390">
        <v>0.87852830701757201</v>
      </c>
      <c r="C1390">
        <v>0.7</v>
      </c>
      <c r="D1390">
        <v>0.223</v>
      </c>
      <c r="E1390">
        <v>1.36562908828108E-14</v>
      </c>
      <c r="F1390">
        <v>2</v>
      </c>
      <c r="G1390" t="s">
        <v>3632</v>
      </c>
      <c r="H1390" t="s">
        <v>3633</v>
      </c>
      <c r="I1390" t="s">
        <v>3632</v>
      </c>
      <c r="J1390" s="1" t="str">
        <f>HYPERLINK("https://zfin.org/ZDB-GENE-081105-65")</f>
        <v>https://zfin.org/ZDB-GENE-081105-65</v>
      </c>
      <c r="K1390" t="s">
        <v>3634</v>
      </c>
    </row>
    <row r="1391" spans="1:11" x14ac:dyDescent="0.2">
      <c r="A1391">
        <v>1.0728080597550801E-18</v>
      </c>
      <c r="B1391">
        <v>-2.2497297878455198</v>
      </c>
      <c r="C1391">
        <v>0.46700000000000003</v>
      </c>
      <c r="D1391">
        <v>0.83299999999999996</v>
      </c>
      <c r="E1391">
        <v>1.6610287189187901E-14</v>
      </c>
      <c r="F1391">
        <v>2</v>
      </c>
      <c r="G1391" t="s">
        <v>2069</v>
      </c>
      <c r="H1391" t="s">
        <v>2070</v>
      </c>
      <c r="I1391" t="s">
        <v>2069</v>
      </c>
      <c r="J1391" s="1" t="str">
        <f>HYPERLINK("https://zfin.org/ZDB-GENE-030131-12")</f>
        <v>https://zfin.org/ZDB-GENE-030131-12</v>
      </c>
      <c r="K1391" t="s">
        <v>2071</v>
      </c>
    </row>
    <row r="1392" spans="1:11" x14ac:dyDescent="0.2">
      <c r="A1392">
        <v>1.0849040697157201E-18</v>
      </c>
      <c r="B1392">
        <v>0.39396136144871002</v>
      </c>
      <c r="C1392">
        <v>0.28299999999999997</v>
      </c>
      <c r="D1392">
        <v>3.6999999999999998E-2</v>
      </c>
      <c r="E1392">
        <v>1.67975697114084E-14</v>
      </c>
      <c r="F1392">
        <v>2</v>
      </c>
      <c r="G1392" t="s">
        <v>696</v>
      </c>
      <c r="H1392" t="s">
        <v>697</v>
      </c>
      <c r="I1392" t="s">
        <v>696</v>
      </c>
      <c r="J1392" s="1" t="str">
        <f>HYPERLINK("https://zfin.org/ZDB-GENE-110614-1")</f>
        <v>https://zfin.org/ZDB-GENE-110614-1</v>
      </c>
      <c r="K1392" t="s">
        <v>698</v>
      </c>
    </row>
    <row r="1393" spans="1:11" x14ac:dyDescent="0.2">
      <c r="A1393">
        <v>1.08540199426249E-18</v>
      </c>
      <c r="B1393">
        <v>0.41628472014120999</v>
      </c>
      <c r="C1393">
        <v>0.3</v>
      </c>
      <c r="D1393">
        <v>4.2000000000000003E-2</v>
      </c>
      <c r="E1393">
        <v>1.6805279077166201E-14</v>
      </c>
      <c r="F1393">
        <v>2</v>
      </c>
      <c r="G1393" t="s">
        <v>365</v>
      </c>
      <c r="H1393" t="s">
        <v>366</v>
      </c>
      <c r="I1393" t="s">
        <v>365</v>
      </c>
      <c r="J1393" s="1" t="str">
        <f>HYPERLINK("https://zfin.org/ZDB-GENE-030131-3633")</f>
        <v>https://zfin.org/ZDB-GENE-030131-3633</v>
      </c>
      <c r="K1393" t="s">
        <v>367</v>
      </c>
    </row>
    <row r="1394" spans="1:11" x14ac:dyDescent="0.2">
      <c r="A1394">
        <v>1.1990368776867599E-18</v>
      </c>
      <c r="B1394">
        <v>0.67689301913235</v>
      </c>
      <c r="C1394">
        <v>0.41699999999999998</v>
      </c>
      <c r="D1394">
        <v>7.9000000000000001E-2</v>
      </c>
      <c r="E1394">
        <v>1.8564687977224201E-14</v>
      </c>
      <c r="F1394">
        <v>2</v>
      </c>
      <c r="G1394" t="s">
        <v>82</v>
      </c>
      <c r="H1394" t="s">
        <v>83</v>
      </c>
      <c r="I1394" t="s">
        <v>82</v>
      </c>
      <c r="J1394" s="1" t="str">
        <f>HYPERLINK("https://zfin.org/ZDB-GENE-100913-3")</f>
        <v>https://zfin.org/ZDB-GENE-100913-3</v>
      </c>
      <c r="K1394" t="s">
        <v>84</v>
      </c>
    </row>
    <row r="1395" spans="1:11" x14ac:dyDescent="0.2">
      <c r="A1395">
        <v>1.27338367834834E-18</v>
      </c>
      <c r="B1395">
        <v>0.57934978699223705</v>
      </c>
      <c r="C1395">
        <v>0.35</v>
      </c>
      <c r="D1395">
        <v>5.7000000000000002E-2</v>
      </c>
      <c r="E1395">
        <v>1.9715799491867301E-14</v>
      </c>
      <c r="F1395">
        <v>2</v>
      </c>
      <c r="G1395" t="s">
        <v>272</v>
      </c>
      <c r="H1395" t="s">
        <v>273</v>
      </c>
      <c r="I1395" t="s">
        <v>272</v>
      </c>
      <c r="J1395" s="1" t="str">
        <f>HYPERLINK("https://zfin.org/ZDB-GENE-060825-357")</f>
        <v>https://zfin.org/ZDB-GENE-060825-357</v>
      </c>
      <c r="K1395" t="s">
        <v>274</v>
      </c>
    </row>
    <row r="1396" spans="1:11" x14ac:dyDescent="0.2">
      <c r="A1396">
        <v>1.29320853230052E-18</v>
      </c>
      <c r="B1396">
        <v>0.606416646261561</v>
      </c>
      <c r="C1396">
        <v>0.38300000000000001</v>
      </c>
      <c r="D1396">
        <v>6.8000000000000005E-2</v>
      </c>
      <c r="E1396">
        <v>2.0022747705608899E-14</v>
      </c>
      <c r="F1396">
        <v>2</v>
      </c>
      <c r="G1396" t="s">
        <v>269</v>
      </c>
      <c r="H1396" t="s">
        <v>270</v>
      </c>
      <c r="I1396" t="s">
        <v>269</v>
      </c>
      <c r="J1396" s="1" t="str">
        <f>HYPERLINK("https://zfin.org/ZDB-GENE-030131-4309")</f>
        <v>https://zfin.org/ZDB-GENE-030131-4309</v>
      </c>
      <c r="K1396" t="s">
        <v>271</v>
      </c>
    </row>
    <row r="1397" spans="1:11" x14ac:dyDescent="0.2">
      <c r="A1397">
        <v>1.4860806445766401E-18</v>
      </c>
      <c r="B1397">
        <v>-1.43063146651604</v>
      </c>
      <c r="C1397">
        <v>0.56699999999999995</v>
      </c>
      <c r="D1397">
        <v>0.83</v>
      </c>
      <c r="E1397">
        <v>2.30089866199802E-14</v>
      </c>
      <c r="F1397">
        <v>2</v>
      </c>
      <c r="G1397" t="s">
        <v>1468</v>
      </c>
      <c r="H1397" t="s">
        <v>1469</v>
      </c>
      <c r="I1397" t="s">
        <v>1468</v>
      </c>
      <c r="J1397" s="1" t="str">
        <f>HYPERLINK("https://zfin.org/ZDB-GENE-040426-2768")</f>
        <v>https://zfin.org/ZDB-GENE-040426-2768</v>
      </c>
      <c r="K1397" t="s">
        <v>1470</v>
      </c>
    </row>
    <row r="1398" spans="1:11" x14ac:dyDescent="0.2">
      <c r="A1398">
        <v>1.4929976328804599E-18</v>
      </c>
      <c r="B1398">
        <v>-0.88826519480260702</v>
      </c>
      <c r="C1398">
        <v>0.96699999999999997</v>
      </c>
      <c r="D1398">
        <v>0.99199999999999999</v>
      </c>
      <c r="E1398">
        <v>2.31160823498882E-14</v>
      </c>
      <c r="F1398">
        <v>2</v>
      </c>
      <c r="G1398" t="s">
        <v>800</v>
      </c>
      <c r="H1398" t="s">
        <v>801</v>
      </c>
      <c r="I1398" t="s">
        <v>800</v>
      </c>
      <c r="J1398" s="1" t="str">
        <f>HYPERLINK("https://zfin.org/ZDB-GENE-040426-2209")</f>
        <v>https://zfin.org/ZDB-GENE-040426-2209</v>
      </c>
      <c r="K1398" t="s">
        <v>802</v>
      </c>
    </row>
    <row r="1399" spans="1:11" x14ac:dyDescent="0.2">
      <c r="A1399">
        <v>1.50510800329713E-18</v>
      </c>
      <c r="B1399">
        <v>0.50173613159376895</v>
      </c>
      <c r="C1399">
        <v>0.3</v>
      </c>
      <c r="D1399">
        <v>4.2000000000000003E-2</v>
      </c>
      <c r="E1399">
        <v>2.33035872150495E-14</v>
      </c>
      <c r="F1399">
        <v>2</v>
      </c>
      <c r="G1399" t="s">
        <v>3635</v>
      </c>
      <c r="H1399" t="s">
        <v>3636</v>
      </c>
      <c r="I1399" t="s">
        <v>3635</v>
      </c>
      <c r="J1399" s="1" t="str">
        <f>HYPERLINK("https://zfin.org/ZDB-GENE-010816-1")</f>
        <v>https://zfin.org/ZDB-GENE-010816-1</v>
      </c>
      <c r="K1399" t="s">
        <v>3637</v>
      </c>
    </row>
    <row r="1400" spans="1:11" x14ac:dyDescent="0.2">
      <c r="A1400">
        <v>1.6368237019692E-18</v>
      </c>
      <c r="B1400">
        <v>0.65611036279683899</v>
      </c>
      <c r="C1400">
        <v>0.65</v>
      </c>
      <c r="D1400">
        <v>0.183</v>
      </c>
      <c r="E1400">
        <v>2.5342941377589099E-14</v>
      </c>
      <c r="F1400">
        <v>2</v>
      </c>
      <c r="G1400" t="s">
        <v>2347</v>
      </c>
      <c r="H1400" t="s">
        <v>2348</v>
      </c>
      <c r="I1400" t="s">
        <v>2347</v>
      </c>
      <c r="J1400" s="1" t="str">
        <f>HYPERLINK("https://zfin.org/ZDB-GENE-040426-2807")</f>
        <v>https://zfin.org/ZDB-GENE-040426-2807</v>
      </c>
      <c r="K1400" t="s">
        <v>2349</v>
      </c>
    </row>
    <row r="1401" spans="1:11" x14ac:dyDescent="0.2">
      <c r="A1401">
        <v>1.75599734775133E-18</v>
      </c>
      <c r="B1401">
        <v>1.0032330234315101</v>
      </c>
      <c r="C1401">
        <v>0.8</v>
      </c>
      <c r="D1401">
        <v>0.32200000000000001</v>
      </c>
      <c r="E1401">
        <v>2.7188106935233799E-14</v>
      </c>
      <c r="F1401">
        <v>2</v>
      </c>
      <c r="G1401" t="s">
        <v>3638</v>
      </c>
      <c r="H1401" t="s">
        <v>3639</v>
      </c>
      <c r="I1401" t="s">
        <v>3638</v>
      </c>
      <c r="J1401" s="1" t="str">
        <f>HYPERLINK("https://zfin.org/ZDB-GENE-060503-618")</f>
        <v>https://zfin.org/ZDB-GENE-060503-618</v>
      </c>
      <c r="K1401" t="s">
        <v>3640</v>
      </c>
    </row>
    <row r="1402" spans="1:11" x14ac:dyDescent="0.2">
      <c r="A1402">
        <v>1.9084159531237901E-18</v>
      </c>
      <c r="B1402">
        <v>0.452091452169472</v>
      </c>
      <c r="C1402">
        <v>0.36699999999999999</v>
      </c>
      <c r="D1402">
        <v>6.0999999999999999E-2</v>
      </c>
      <c r="E1402">
        <v>2.9548004202215699E-14</v>
      </c>
      <c r="F1402">
        <v>2</v>
      </c>
      <c r="G1402" t="s">
        <v>2314</v>
      </c>
      <c r="H1402" t="s">
        <v>2315</v>
      </c>
      <c r="I1402" t="s">
        <v>2314</v>
      </c>
      <c r="J1402" s="1" t="str">
        <f>HYPERLINK("https://zfin.org/ZDB-GENE-040426-1901")</f>
        <v>https://zfin.org/ZDB-GENE-040426-1901</v>
      </c>
      <c r="K1402" t="s">
        <v>2316</v>
      </c>
    </row>
    <row r="1403" spans="1:11" x14ac:dyDescent="0.2">
      <c r="A1403">
        <v>1.9395352891755799E-18</v>
      </c>
      <c r="B1403">
        <v>0.465181236247379</v>
      </c>
      <c r="C1403">
        <v>0.25</v>
      </c>
      <c r="D1403">
        <v>2.9000000000000001E-2</v>
      </c>
      <c r="E1403">
        <v>3.0029824882305499E-14</v>
      </c>
      <c r="F1403">
        <v>2</v>
      </c>
      <c r="G1403" t="s">
        <v>3641</v>
      </c>
      <c r="H1403" t="s">
        <v>3642</v>
      </c>
      <c r="I1403" t="s">
        <v>3641</v>
      </c>
      <c r="J1403" s="1" t="str">
        <f>HYPERLINK("https://zfin.org/ZDB-GENE-060503-135")</f>
        <v>https://zfin.org/ZDB-GENE-060503-135</v>
      </c>
      <c r="K1403" t="s">
        <v>3643</v>
      </c>
    </row>
    <row r="1404" spans="1:11" x14ac:dyDescent="0.2">
      <c r="A1404">
        <v>2.0617586955185702E-18</v>
      </c>
      <c r="B1404">
        <v>0.43438070242326798</v>
      </c>
      <c r="C1404">
        <v>0.15</v>
      </c>
      <c r="D1404">
        <v>0.01</v>
      </c>
      <c r="E1404">
        <v>3.1922209882714001E-14</v>
      </c>
      <c r="F1404">
        <v>2</v>
      </c>
      <c r="G1404" t="s">
        <v>3644</v>
      </c>
      <c r="H1404" t="s">
        <v>3645</v>
      </c>
      <c r="I1404" t="s">
        <v>3644</v>
      </c>
      <c r="J1404" s="1" t="str">
        <f>HYPERLINK("https://zfin.org/ZDB-GENE-110713-1")</f>
        <v>https://zfin.org/ZDB-GENE-110713-1</v>
      </c>
      <c r="K1404" t="s">
        <v>3646</v>
      </c>
    </row>
    <row r="1405" spans="1:11" x14ac:dyDescent="0.2">
      <c r="A1405">
        <v>2.0843617329703701E-18</v>
      </c>
      <c r="B1405">
        <v>0.45579709468652402</v>
      </c>
      <c r="C1405">
        <v>0.16700000000000001</v>
      </c>
      <c r="D1405">
        <v>1.2E-2</v>
      </c>
      <c r="E1405">
        <v>3.2272172711580302E-14</v>
      </c>
      <c r="F1405">
        <v>2</v>
      </c>
      <c r="G1405" t="s">
        <v>3647</v>
      </c>
      <c r="H1405" t="s">
        <v>3648</v>
      </c>
      <c r="I1405" t="s">
        <v>3647</v>
      </c>
      <c r="J1405" s="1" t="str">
        <f>HYPERLINK("https://zfin.org/ZDB-GENE-041014-337")</f>
        <v>https://zfin.org/ZDB-GENE-041014-337</v>
      </c>
      <c r="K1405" t="s">
        <v>3649</v>
      </c>
    </row>
    <row r="1406" spans="1:11" x14ac:dyDescent="0.2">
      <c r="A1406">
        <v>2.11550685704685E-18</v>
      </c>
      <c r="B1406">
        <v>0.42525343773817198</v>
      </c>
      <c r="C1406">
        <v>0.28299999999999997</v>
      </c>
      <c r="D1406">
        <v>3.7999999999999999E-2</v>
      </c>
      <c r="E1406">
        <v>3.27543926676564E-14</v>
      </c>
      <c r="F1406">
        <v>2</v>
      </c>
      <c r="G1406" t="s">
        <v>434</v>
      </c>
      <c r="H1406" t="s">
        <v>435</v>
      </c>
      <c r="I1406" t="s">
        <v>434</v>
      </c>
      <c r="J1406" s="1" t="str">
        <f>HYPERLINK("https://zfin.org/ZDB-GENE-061013-622")</f>
        <v>https://zfin.org/ZDB-GENE-061013-622</v>
      </c>
      <c r="K1406" t="s">
        <v>436</v>
      </c>
    </row>
    <row r="1407" spans="1:11" x14ac:dyDescent="0.2">
      <c r="A1407">
        <v>2.1562164458084299E-18</v>
      </c>
      <c r="B1407">
        <v>0.58773975718312599</v>
      </c>
      <c r="C1407">
        <v>0.35</v>
      </c>
      <c r="D1407">
        <v>5.8999999999999997E-2</v>
      </c>
      <c r="E1407">
        <v>3.3384699230451998E-14</v>
      </c>
      <c r="F1407">
        <v>2</v>
      </c>
      <c r="G1407" t="s">
        <v>319</v>
      </c>
      <c r="H1407" t="s">
        <v>320</v>
      </c>
      <c r="I1407" t="s">
        <v>319</v>
      </c>
      <c r="J1407" s="1" t="str">
        <f>HYPERLINK("https://zfin.org/ZDB-GENE-080204-7")</f>
        <v>https://zfin.org/ZDB-GENE-080204-7</v>
      </c>
      <c r="K1407" t="s">
        <v>321</v>
      </c>
    </row>
    <row r="1408" spans="1:11" x14ac:dyDescent="0.2">
      <c r="A1408">
        <v>2.2290045114425699E-18</v>
      </c>
      <c r="B1408">
        <v>0.93203647957593405</v>
      </c>
      <c r="C1408">
        <v>0.93300000000000005</v>
      </c>
      <c r="D1408">
        <v>0.68</v>
      </c>
      <c r="E1408">
        <v>3.4511676850665302E-14</v>
      </c>
      <c r="F1408">
        <v>2</v>
      </c>
      <c r="G1408" t="s">
        <v>3029</v>
      </c>
      <c r="H1408" t="s">
        <v>3030</v>
      </c>
      <c r="I1408" t="s">
        <v>3029</v>
      </c>
      <c r="J1408" s="1" t="str">
        <f>HYPERLINK("https://zfin.org/ZDB-GENE-040426-1961")</f>
        <v>https://zfin.org/ZDB-GENE-040426-1961</v>
      </c>
      <c r="K1408" t="s">
        <v>3031</v>
      </c>
    </row>
    <row r="1409" spans="1:11" x14ac:dyDescent="0.2">
      <c r="A1409">
        <v>2.3310710654175499E-18</v>
      </c>
      <c r="B1409">
        <v>1.1006784691716101</v>
      </c>
      <c r="C1409">
        <v>0.6</v>
      </c>
      <c r="D1409">
        <v>0.16700000000000001</v>
      </c>
      <c r="E1409">
        <v>3.6091973305859901E-14</v>
      </c>
      <c r="F1409">
        <v>2</v>
      </c>
      <c r="G1409" t="s">
        <v>195</v>
      </c>
      <c r="H1409" t="s">
        <v>196</v>
      </c>
      <c r="I1409" t="s">
        <v>195</v>
      </c>
      <c r="J1409" s="1" t="str">
        <f>HYPERLINK("https://zfin.org/ZDB-GENE-131121-321")</f>
        <v>https://zfin.org/ZDB-GENE-131121-321</v>
      </c>
      <c r="K1409" t="s">
        <v>197</v>
      </c>
    </row>
    <row r="1410" spans="1:11" x14ac:dyDescent="0.2">
      <c r="A1410">
        <v>2.7971327147871101E-18</v>
      </c>
      <c r="B1410">
        <v>0.39674657340962399</v>
      </c>
      <c r="C1410">
        <v>0.26700000000000002</v>
      </c>
      <c r="D1410">
        <v>3.4000000000000002E-2</v>
      </c>
      <c r="E1410">
        <v>4.33080058230489E-14</v>
      </c>
      <c r="F1410">
        <v>2</v>
      </c>
      <c r="G1410" t="s">
        <v>3650</v>
      </c>
      <c r="H1410" t="s">
        <v>3651</v>
      </c>
      <c r="I1410" t="s">
        <v>3650</v>
      </c>
      <c r="J1410" s="1" t="str">
        <f>HYPERLINK("https://zfin.org/ZDB-GENE-090312-217")</f>
        <v>https://zfin.org/ZDB-GENE-090312-217</v>
      </c>
      <c r="K1410" t="s">
        <v>3652</v>
      </c>
    </row>
    <row r="1411" spans="1:11" x14ac:dyDescent="0.2">
      <c r="A1411">
        <v>2.89577939258149E-18</v>
      </c>
      <c r="B1411">
        <v>1.04889572857695</v>
      </c>
      <c r="C1411">
        <v>0.55000000000000004</v>
      </c>
      <c r="D1411">
        <v>0.15</v>
      </c>
      <c r="E1411">
        <v>4.4835352335339197E-14</v>
      </c>
      <c r="F1411">
        <v>2</v>
      </c>
      <c r="G1411" t="s">
        <v>386</v>
      </c>
      <c r="H1411" t="s">
        <v>387</v>
      </c>
      <c r="I1411" t="s">
        <v>386</v>
      </c>
      <c r="J1411" s="1" t="str">
        <f>HYPERLINK("https://zfin.org/ZDB-GENE-030131-6048")</f>
        <v>https://zfin.org/ZDB-GENE-030131-6048</v>
      </c>
      <c r="K1411" t="s">
        <v>388</v>
      </c>
    </row>
    <row r="1412" spans="1:11" x14ac:dyDescent="0.2">
      <c r="A1412">
        <v>2.9014345534517901E-18</v>
      </c>
      <c r="B1412">
        <v>0.87336917416763904</v>
      </c>
      <c r="C1412">
        <v>0.81699999999999995</v>
      </c>
      <c r="D1412">
        <v>0.35199999999999998</v>
      </c>
      <c r="E1412">
        <v>4.4922911191093999E-14</v>
      </c>
      <c r="F1412">
        <v>2</v>
      </c>
      <c r="G1412" t="s">
        <v>3653</v>
      </c>
      <c r="H1412" t="s">
        <v>3654</v>
      </c>
      <c r="I1412" t="s">
        <v>3653</v>
      </c>
      <c r="J1412" s="1" t="str">
        <f>HYPERLINK("https://zfin.org/ZDB-GENE-990714-24")</f>
        <v>https://zfin.org/ZDB-GENE-990714-24</v>
      </c>
      <c r="K1412" t="s">
        <v>3655</v>
      </c>
    </row>
    <row r="1413" spans="1:11" x14ac:dyDescent="0.2">
      <c r="A1413">
        <v>3.2865234895467E-18</v>
      </c>
      <c r="B1413">
        <v>0.25574637689638902</v>
      </c>
      <c r="C1413">
        <v>0.16700000000000001</v>
      </c>
      <c r="D1413">
        <v>1.2E-2</v>
      </c>
      <c r="E1413">
        <v>5.0885243188651601E-14</v>
      </c>
      <c r="F1413">
        <v>2</v>
      </c>
      <c r="G1413" t="s">
        <v>3656</v>
      </c>
      <c r="H1413" t="s">
        <v>3657</v>
      </c>
      <c r="I1413" t="s">
        <v>3656</v>
      </c>
      <c r="J1413" s="1" t="str">
        <f>HYPERLINK("https://zfin.org/ZDB-GENE-061013-204")</f>
        <v>https://zfin.org/ZDB-GENE-061013-204</v>
      </c>
      <c r="K1413" t="s">
        <v>3658</v>
      </c>
    </row>
    <row r="1414" spans="1:11" x14ac:dyDescent="0.2">
      <c r="A1414">
        <v>3.2942706321827301E-18</v>
      </c>
      <c r="B1414">
        <v>0.49168432965796199</v>
      </c>
      <c r="C1414">
        <v>0.48299999999999998</v>
      </c>
      <c r="D1414">
        <v>0.10299999999999999</v>
      </c>
      <c r="E1414">
        <v>5.1005192198085198E-14</v>
      </c>
      <c r="F1414">
        <v>2</v>
      </c>
      <c r="G1414" t="s">
        <v>3659</v>
      </c>
      <c r="H1414" t="s">
        <v>3660</v>
      </c>
      <c r="I1414" t="s">
        <v>3659</v>
      </c>
      <c r="J1414" s="1" t="str">
        <f>HYPERLINK("https://zfin.org/ZDB-GENE-030729-18")</f>
        <v>https://zfin.org/ZDB-GENE-030729-18</v>
      </c>
      <c r="K1414" t="s">
        <v>3661</v>
      </c>
    </row>
    <row r="1415" spans="1:11" x14ac:dyDescent="0.2">
      <c r="A1415">
        <v>3.69268562057853E-18</v>
      </c>
      <c r="B1415">
        <v>0.72780465328081601</v>
      </c>
      <c r="C1415">
        <v>0.66700000000000004</v>
      </c>
      <c r="D1415">
        <v>0.20100000000000001</v>
      </c>
      <c r="E1415">
        <v>5.7173851463417404E-14</v>
      </c>
      <c r="F1415">
        <v>2</v>
      </c>
      <c r="G1415" t="s">
        <v>3662</v>
      </c>
      <c r="H1415" t="s">
        <v>3663</v>
      </c>
      <c r="I1415" t="s">
        <v>3662</v>
      </c>
      <c r="J1415" s="1" t="str">
        <f>HYPERLINK("https://zfin.org/ZDB-GENE-041010-25")</f>
        <v>https://zfin.org/ZDB-GENE-041010-25</v>
      </c>
      <c r="K1415" t="s">
        <v>3664</v>
      </c>
    </row>
    <row r="1416" spans="1:11" x14ac:dyDescent="0.2">
      <c r="A1416">
        <v>4.0441381661383297E-18</v>
      </c>
      <c r="B1416">
        <v>0.51982229569175298</v>
      </c>
      <c r="C1416">
        <v>0.51700000000000002</v>
      </c>
      <c r="D1416">
        <v>0.11799999999999999</v>
      </c>
      <c r="E1416">
        <v>6.2615391226319706E-14</v>
      </c>
      <c r="F1416">
        <v>2</v>
      </c>
      <c r="G1416" t="s">
        <v>944</v>
      </c>
      <c r="H1416" t="s">
        <v>945</v>
      </c>
      <c r="I1416" t="s">
        <v>944</v>
      </c>
      <c r="J1416" s="1" t="str">
        <f>HYPERLINK("https://zfin.org/ZDB-GENE-040426-1143")</f>
        <v>https://zfin.org/ZDB-GENE-040426-1143</v>
      </c>
      <c r="K1416" t="s">
        <v>946</v>
      </c>
    </row>
    <row r="1417" spans="1:11" x14ac:dyDescent="0.2">
      <c r="A1417">
        <v>4.2571616478018901E-18</v>
      </c>
      <c r="B1417">
        <v>2.01331769130217</v>
      </c>
      <c r="C1417">
        <v>1</v>
      </c>
      <c r="D1417">
        <v>0.93899999999999995</v>
      </c>
      <c r="E1417">
        <v>6.59136337929167E-14</v>
      </c>
      <c r="F1417">
        <v>2</v>
      </c>
      <c r="G1417" t="s">
        <v>851</v>
      </c>
      <c r="H1417" t="s">
        <v>852</v>
      </c>
      <c r="I1417" t="s">
        <v>851</v>
      </c>
      <c r="J1417" s="1" t="str">
        <f>HYPERLINK("https://zfin.org/ZDB-GENE-050320-61")</f>
        <v>https://zfin.org/ZDB-GENE-050320-61</v>
      </c>
      <c r="K1417" t="s">
        <v>853</v>
      </c>
    </row>
    <row r="1418" spans="1:11" x14ac:dyDescent="0.2">
      <c r="A1418">
        <v>4.8312431747549604E-18</v>
      </c>
      <c r="B1418">
        <v>0.89242970154513801</v>
      </c>
      <c r="C1418">
        <v>0.76700000000000002</v>
      </c>
      <c r="D1418">
        <v>0.30599999999999999</v>
      </c>
      <c r="E1418">
        <v>7.4802138074731003E-14</v>
      </c>
      <c r="F1418">
        <v>2</v>
      </c>
      <c r="G1418" t="s">
        <v>3665</v>
      </c>
      <c r="H1418" t="s">
        <v>3666</v>
      </c>
      <c r="I1418" t="s">
        <v>3665</v>
      </c>
      <c r="J1418" s="1" t="str">
        <f>HYPERLINK("https://zfin.org/ZDB-GENE-040625-96")</f>
        <v>https://zfin.org/ZDB-GENE-040625-96</v>
      </c>
      <c r="K1418" t="s">
        <v>3667</v>
      </c>
    </row>
    <row r="1419" spans="1:11" x14ac:dyDescent="0.2">
      <c r="A1419">
        <v>5.5541641533126702E-18</v>
      </c>
      <c r="B1419">
        <v>-1.6587665476618101</v>
      </c>
      <c r="C1419">
        <v>0.48299999999999998</v>
      </c>
      <c r="D1419">
        <v>0.83299999999999996</v>
      </c>
      <c r="E1419">
        <v>8.5995123585740002E-14</v>
      </c>
      <c r="F1419">
        <v>2</v>
      </c>
      <c r="G1419" t="s">
        <v>1814</v>
      </c>
      <c r="H1419" t="s">
        <v>1815</v>
      </c>
      <c r="I1419" t="s">
        <v>1814</v>
      </c>
      <c r="J1419" s="1" t="str">
        <f>HYPERLINK("https://zfin.org/ZDB-GENE-050522-73")</f>
        <v>https://zfin.org/ZDB-GENE-050522-73</v>
      </c>
      <c r="K1419" t="s">
        <v>1816</v>
      </c>
    </row>
    <row r="1420" spans="1:11" x14ac:dyDescent="0.2">
      <c r="A1420">
        <v>5.914248824732E-18</v>
      </c>
      <c r="B1420">
        <v>0.86706672440097998</v>
      </c>
      <c r="C1420">
        <v>0.433</v>
      </c>
      <c r="D1420">
        <v>8.6999999999999994E-2</v>
      </c>
      <c r="E1420">
        <v>9.1570314553325506E-14</v>
      </c>
      <c r="F1420">
        <v>2</v>
      </c>
      <c r="G1420" t="s">
        <v>251</v>
      </c>
      <c r="H1420" t="s">
        <v>252</v>
      </c>
      <c r="I1420" t="s">
        <v>251</v>
      </c>
      <c r="J1420" s="1" t="str">
        <f>HYPERLINK("https://zfin.org/ZDB-GENE-081028-70")</f>
        <v>https://zfin.org/ZDB-GENE-081028-70</v>
      </c>
      <c r="K1420" t="s">
        <v>253</v>
      </c>
    </row>
    <row r="1421" spans="1:11" x14ac:dyDescent="0.2">
      <c r="A1421">
        <v>6.0633496456193501E-18</v>
      </c>
      <c r="B1421">
        <v>0.88253708676366605</v>
      </c>
      <c r="C1421">
        <v>0.88300000000000001</v>
      </c>
      <c r="D1421">
        <v>0.57599999999999996</v>
      </c>
      <c r="E1421">
        <v>9.38788425631244E-14</v>
      </c>
      <c r="F1421">
        <v>2</v>
      </c>
      <c r="G1421" t="s">
        <v>2570</v>
      </c>
      <c r="H1421" t="s">
        <v>2571</v>
      </c>
      <c r="I1421" t="s">
        <v>2570</v>
      </c>
      <c r="J1421" s="1" t="str">
        <f>HYPERLINK("https://zfin.org/ZDB-GENE-020731-5")</f>
        <v>https://zfin.org/ZDB-GENE-020731-5</v>
      </c>
      <c r="K1421" t="s">
        <v>2572</v>
      </c>
    </row>
    <row r="1422" spans="1:11" x14ac:dyDescent="0.2">
      <c r="A1422">
        <v>6.7795612277131901E-18</v>
      </c>
      <c r="B1422">
        <v>0.27304135328932699</v>
      </c>
      <c r="C1422">
        <v>0.13300000000000001</v>
      </c>
      <c r="D1422">
        <v>8.0000000000000002E-3</v>
      </c>
      <c r="E1422">
        <v>1.04967946488683E-13</v>
      </c>
      <c r="F1422">
        <v>2</v>
      </c>
      <c r="G1422" t="s">
        <v>3668</v>
      </c>
      <c r="H1422" t="s">
        <v>3669</v>
      </c>
      <c r="I1422" t="s">
        <v>3668</v>
      </c>
      <c r="J1422" s="1" t="str">
        <f>HYPERLINK("https://zfin.org/")</f>
        <v>https://zfin.org/</v>
      </c>
    </row>
    <row r="1423" spans="1:11" x14ac:dyDescent="0.2">
      <c r="A1423">
        <v>7.1682221243570594E-18</v>
      </c>
      <c r="B1423">
        <v>0.30934463601513101</v>
      </c>
      <c r="C1423">
        <v>0.183</v>
      </c>
      <c r="D1423">
        <v>1.6E-2</v>
      </c>
      <c r="E1423">
        <v>1.1098558315142E-13</v>
      </c>
      <c r="F1423">
        <v>2</v>
      </c>
      <c r="G1423" t="s">
        <v>1831</v>
      </c>
      <c r="H1423" t="s">
        <v>1832</v>
      </c>
      <c r="I1423" t="s">
        <v>1831</v>
      </c>
      <c r="J1423" s="1" t="str">
        <f>HYPERLINK("https://zfin.org/ZDB-GENE-060728-1")</f>
        <v>https://zfin.org/ZDB-GENE-060728-1</v>
      </c>
      <c r="K1423" t="s">
        <v>1833</v>
      </c>
    </row>
    <row r="1424" spans="1:11" x14ac:dyDescent="0.2">
      <c r="A1424">
        <v>7.3839009190746E-18</v>
      </c>
      <c r="B1424">
        <v>0.43631448879033602</v>
      </c>
      <c r="C1424">
        <v>0.35</v>
      </c>
      <c r="D1424">
        <v>5.7000000000000002E-2</v>
      </c>
      <c r="E1424">
        <v>1.1432493793003199E-13</v>
      </c>
      <c r="F1424">
        <v>2</v>
      </c>
      <c r="G1424" t="s">
        <v>3670</v>
      </c>
      <c r="H1424" t="s">
        <v>3671</v>
      </c>
      <c r="I1424" t="s">
        <v>3670</v>
      </c>
      <c r="J1424" s="1" t="str">
        <f>HYPERLINK("https://zfin.org/ZDB-GENE-040426-928")</f>
        <v>https://zfin.org/ZDB-GENE-040426-928</v>
      </c>
      <c r="K1424" t="s">
        <v>3672</v>
      </c>
    </row>
    <row r="1425" spans="1:11" x14ac:dyDescent="0.2">
      <c r="A1425">
        <v>7.9288195178075006E-18</v>
      </c>
      <c r="B1425">
        <v>0.58007589618302802</v>
      </c>
      <c r="C1425">
        <v>0.53300000000000003</v>
      </c>
      <c r="D1425">
        <v>0.127</v>
      </c>
      <c r="E1425">
        <v>1.2276191259421399E-13</v>
      </c>
      <c r="F1425">
        <v>2</v>
      </c>
      <c r="G1425" t="s">
        <v>3673</v>
      </c>
      <c r="H1425" t="s">
        <v>3674</v>
      </c>
      <c r="I1425" t="s">
        <v>3673</v>
      </c>
      <c r="J1425" s="1" t="str">
        <f>HYPERLINK("https://zfin.org/ZDB-GENE-040801-108")</f>
        <v>https://zfin.org/ZDB-GENE-040801-108</v>
      </c>
      <c r="K1425" t="s">
        <v>3675</v>
      </c>
    </row>
    <row r="1426" spans="1:11" x14ac:dyDescent="0.2">
      <c r="A1426">
        <v>8.8464252567048398E-18</v>
      </c>
      <c r="B1426">
        <v>0.49109171078011399</v>
      </c>
      <c r="C1426">
        <v>0.433</v>
      </c>
      <c r="D1426">
        <v>8.5000000000000006E-2</v>
      </c>
      <c r="E1426">
        <v>1.3696920224956101E-13</v>
      </c>
      <c r="F1426">
        <v>2</v>
      </c>
      <c r="G1426" t="s">
        <v>3676</v>
      </c>
      <c r="H1426" t="s">
        <v>3677</v>
      </c>
      <c r="I1426" t="s">
        <v>3676</v>
      </c>
      <c r="J1426" s="1" t="str">
        <f>HYPERLINK("https://zfin.org/ZDB-GENE-030804-11")</f>
        <v>https://zfin.org/ZDB-GENE-030804-11</v>
      </c>
      <c r="K1426" t="s">
        <v>3678</v>
      </c>
    </row>
    <row r="1427" spans="1:11" x14ac:dyDescent="0.2">
      <c r="A1427">
        <v>8.9138932642419706E-18</v>
      </c>
      <c r="B1427">
        <v>0.73332739509359401</v>
      </c>
      <c r="C1427">
        <v>0.53300000000000003</v>
      </c>
      <c r="D1427">
        <v>0.13200000000000001</v>
      </c>
      <c r="E1427">
        <v>1.3801380941025801E-13</v>
      </c>
      <c r="F1427">
        <v>2</v>
      </c>
      <c r="G1427" t="s">
        <v>3679</v>
      </c>
      <c r="H1427" t="s">
        <v>3680</v>
      </c>
      <c r="I1427" t="s">
        <v>3679</v>
      </c>
      <c r="J1427" s="1" t="str">
        <f>HYPERLINK("https://zfin.org/ZDB-GENE-141212-262")</f>
        <v>https://zfin.org/ZDB-GENE-141212-262</v>
      </c>
      <c r="K1427" t="s">
        <v>3681</v>
      </c>
    </row>
    <row r="1428" spans="1:11" x14ac:dyDescent="0.2">
      <c r="A1428">
        <v>9.3404552700758995E-18</v>
      </c>
      <c r="B1428">
        <v>0.61860861265385403</v>
      </c>
      <c r="C1428">
        <v>0.3</v>
      </c>
      <c r="D1428">
        <v>4.3999999999999997E-2</v>
      </c>
      <c r="E1428">
        <v>1.44618268946585E-13</v>
      </c>
      <c r="F1428">
        <v>2</v>
      </c>
      <c r="G1428" t="s">
        <v>3682</v>
      </c>
      <c r="H1428" t="s">
        <v>3683</v>
      </c>
      <c r="I1428" t="s">
        <v>3682</v>
      </c>
      <c r="J1428" s="1" t="str">
        <f>HYPERLINK("https://zfin.org/ZDB-GENE-030219-167")</f>
        <v>https://zfin.org/ZDB-GENE-030219-167</v>
      </c>
      <c r="K1428" t="s">
        <v>3684</v>
      </c>
    </row>
    <row r="1429" spans="1:11" x14ac:dyDescent="0.2">
      <c r="A1429">
        <v>9.8380703239318094E-18</v>
      </c>
      <c r="B1429">
        <v>1.0079841286435101</v>
      </c>
      <c r="C1429">
        <v>0.88300000000000001</v>
      </c>
      <c r="D1429">
        <v>0.42799999999999999</v>
      </c>
      <c r="E1429">
        <v>1.5232284282543599E-13</v>
      </c>
      <c r="F1429">
        <v>2</v>
      </c>
      <c r="G1429" t="s">
        <v>1318</v>
      </c>
      <c r="H1429" t="s">
        <v>1319</v>
      </c>
      <c r="I1429" t="s">
        <v>1318</v>
      </c>
      <c r="J1429" s="1" t="str">
        <f>HYPERLINK("https://zfin.org/ZDB-GENE-040718-162")</f>
        <v>https://zfin.org/ZDB-GENE-040718-162</v>
      </c>
      <c r="K1429" t="s">
        <v>1320</v>
      </c>
    </row>
    <row r="1430" spans="1:11" x14ac:dyDescent="0.2">
      <c r="A1430">
        <v>1.00508179753323E-17</v>
      </c>
      <c r="B1430">
        <v>0.30268344094081201</v>
      </c>
      <c r="C1430">
        <v>0.13300000000000001</v>
      </c>
      <c r="D1430">
        <v>8.0000000000000002E-3</v>
      </c>
      <c r="E1430">
        <v>1.5561681471207001E-13</v>
      </c>
      <c r="F1430">
        <v>2</v>
      </c>
      <c r="G1430" t="s">
        <v>3685</v>
      </c>
      <c r="H1430" t="s">
        <v>3686</v>
      </c>
      <c r="I1430" t="s">
        <v>3685</v>
      </c>
      <c r="J1430" s="1" t="str">
        <f>HYPERLINK("https://zfin.org/ZDB-GENE-030829-40")</f>
        <v>https://zfin.org/ZDB-GENE-030829-40</v>
      </c>
      <c r="K1430" t="s">
        <v>3687</v>
      </c>
    </row>
    <row r="1431" spans="1:11" x14ac:dyDescent="0.2">
      <c r="A1431">
        <v>1.0187844801407199E-17</v>
      </c>
      <c r="B1431">
        <v>0.27308530661802599</v>
      </c>
      <c r="C1431">
        <v>0.13300000000000001</v>
      </c>
      <c r="D1431">
        <v>8.0000000000000002E-3</v>
      </c>
      <c r="E1431">
        <v>1.5773840106018799E-13</v>
      </c>
      <c r="F1431">
        <v>2</v>
      </c>
      <c r="G1431" t="s">
        <v>3688</v>
      </c>
      <c r="H1431" t="s">
        <v>3689</v>
      </c>
      <c r="I1431" t="s">
        <v>3688</v>
      </c>
      <c r="J1431" s="1" t="str">
        <f>HYPERLINK("https://zfin.org/ZDB-GENE-081104-140")</f>
        <v>https://zfin.org/ZDB-GENE-081104-140</v>
      </c>
      <c r="K1431" t="s">
        <v>3690</v>
      </c>
    </row>
    <row r="1432" spans="1:11" x14ac:dyDescent="0.2">
      <c r="A1432">
        <v>1.3189786297963301E-17</v>
      </c>
      <c r="B1432">
        <v>0.279510930953494</v>
      </c>
      <c r="C1432">
        <v>0.11700000000000001</v>
      </c>
      <c r="D1432">
        <v>5.0000000000000001E-3</v>
      </c>
      <c r="E1432">
        <v>2.04217461251366E-13</v>
      </c>
      <c r="F1432">
        <v>2</v>
      </c>
      <c r="G1432" t="s">
        <v>3691</v>
      </c>
      <c r="H1432" t="s">
        <v>3692</v>
      </c>
      <c r="I1432" t="s">
        <v>3691</v>
      </c>
      <c r="J1432" s="1" t="str">
        <f>HYPERLINK("https://zfin.org/ZDB-GENE-100405-5")</f>
        <v>https://zfin.org/ZDB-GENE-100405-5</v>
      </c>
      <c r="K1432" t="s">
        <v>3693</v>
      </c>
    </row>
    <row r="1433" spans="1:11" x14ac:dyDescent="0.2">
      <c r="A1433">
        <v>1.34171134860048E-17</v>
      </c>
      <c r="B1433">
        <v>1.2735296661159501</v>
      </c>
      <c r="C1433">
        <v>0.9</v>
      </c>
      <c r="D1433">
        <v>0.64100000000000001</v>
      </c>
      <c r="E1433">
        <v>2.07737168103813E-13</v>
      </c>
      <c r="F1433">
        <v>2</v>
      </c>
      <c r="G1433" t="s">
        <v>887</v>
      </c>
      <c r="H1433" t="s">
        <v>888</v>
      </c>
      <c r="I1433" t="s">
        <v>887</v>
      </c>
      <c r="J1433" s="1" t="str">
        <f>HYPERLINK("https://zfin.org/ZDB-GENE-020913-1")</f>
        <v>https://zfin.org/ZDB-GENE-020913-1</v>
      </c>
      <c r="K1433" t="s">
        <v>889</v>
      </c>
    </row>
    <row r="1434" spans="1:11" x14ac:dyDescent="0.2">
      <c r="A1434">
        <v>1.37261978611581E-17</v>
      </c>
      <c r="B1434">
        <v>0.33270509292344003</v>
      </c>
      <c r="C1434">
        <v>0.16700000000000001</v>
      </c>
      <c r="D1434">
        <v>1.2999999999999999E-2</v>
      </c>
      <c r="E1434">
        <v>2.1252272148431E-13</v>
      </c>
      <c r="F1434">
        <v>2</v>
      </c>
      <c r="G1434" t="s">
        <v>3694</v>
      </c>
      <c r="H1434" t="s">
        <v>3695</v>
      </c>
      <c r="I1434" t="s">
        <v>3694</v>
      </c>
      <c r="J1434" s="1" t="str">
        <f>HYPERLINK("https://zfin.org/ZDB-GENE-070424-39")</f>
        <v>https://zfin.org/ZDB-GENE-070424-39</v>
      </c>
      <c r="K1434" t="s">
        <v>3696</v>
      </c>
    </row>
    <row r="1435" spans="1:11" x14ac:dyDescent="0.2">
      <c r="A1435">
        <v>1.57615662879777E-17</v>
      </c>
      <c r="B1435">
        <v>0.68849940200022297</v>
      </c>
      <c r="C1435">
        <v>0.63300000000000001</v>
      </c>
      <c r="D1435">
        <v>0.17899999999999999</v>
      </c>
      <c r="E1435">
        <v>2.4403633083675799E-13</v>
      </c>
      <c r="F1435">
        <v>2</v>
      </c>
      <c r="G1435" t="s">
        <v>3697</v>
      </c>
      <c r="H1435" t="s">
        <v>3698</v>
      </c>
      <c r="I1435" t="s">
        <v>3697</v>
      </c>
      <c r="J1435" s="1" t="str">
        <f>HYPERLINK("https://zfin.org/ZDB-GENE-030131-3724")</f>
        <v>https://zfin.org/ZDB-GENE-030131-3724</v>
      </c>
      <c r="K1435" t="s">
        <v>3699</v>
      </c>
    </row>
    <row r="1436" spans="1:11" x14ac:dyDescent="0.2">
      <c r="A1436">
        <v>1.7773173417064499E-17</v>
      </c>
      <c r="B1436">
        <v>-1.46091751293482</v>
      </c>
      <c r="C1436">
        <v>0.45</v>
      </c>
      <c r="D1436">
        <v>0.81200000000000006</v>
      </c>
      <c r="E1436">
        <v>2.7518204401640902E-13</v>
      </c>
      <c r="F1436">
        <v>2</v>
      </c>
      <c r="G1436" t="s">
        <v>1867</v>
      </c>
      <c r="H1436" t="s">
        <v>1868</v>
      </c>
      <c r="I1436" t="s">
        <v>1867</v>
      </c>
      <c r="J1436" s="1" t="str">
        <f>HYPERLINK("https://zfin.org/ZDB-GENE-030825-1")</f>
        <v>https://zfin.org/ZDB-GENE-030825-1</v>
      </c>
      <c r="K1436" t="s">
        <v>1869</v>
      </c>
    </row>
    <row r="1437" spans="1:11" x14ac:dyDescent="0.2">
      <c r="A1437">
        <v>1.8238775448471301E-17</v>
      </c>
      <c r="B1437">
        <v>0.26627205416604899</v>
      </c>
      <c r="C1437">
        <v>0.16700000000000001</v>
      </c>
      <c r="D1437">
        <v>1.2999999999999999E-2</v>
      </c>
      <c r="E1437">
        <v>2.8239096026868098E-13</v>
      </c>
      <c r="F1437">
        <v>2</v>
      </c>
      <c r="G1437" t="s">
        <v>3700</v>
      </c>
      <c r="H1437" t="s">
        <v>3701</v>
      </c>
      <c r="I1437" t="s">
        <v>3700</v>
      </c>
      <c r="J1437" s="1" t="str">
        <f>HYPERLINK("https://zfin.org/ZDB-GENE-040426-1326")</f>
        <v>https://zfin.org/ZDB-GENE-040426-1326</v>
      </c>
      <c r="K1437" t="s">
        <v>3702</v>
      </c>
    </row>
    <row r="1438" spans="1:11" x14ac:dyDescent="0.2">
      <c r="A1438">
        <v>2.48392768632461E-17</v>
      </c>
      <c r="B1438">
        <v>0.73249383828099501</v>
      </c>
      <c r="C1438">
        <v>0.93300000000000005</v>
      </c>
      <c r="D1438">
        <v>0.7</v>
      </c>
      <c r="E1438">
        <v>3.8458652367364001E-13</v>
      </c>
      <c r="F1438">
        <v>2</v>
      </c>
      <c r="G1438" t="s">
        <v>1670</v>
      </c>
      <c r="H1438" t="s">
        <v>1671</v>
      </c>
      <c r="I1438" t="s">
        <v>1670</v>
      </c>
      <c r="J1438" s="1" t="str">
        <f>HYPERLINK("https://zfin.org/ZDB-GENE-030131-124")</f>
        <v>https://zfin.org/ZDB-GENE-030131-124</v>
      </c>
      <c r="K1438" t="s">
        <v>1672</v>
      </c>
    </row>
    <row r="1439" spans="1:11" x14ac:dyDescent="0.2">
      <c r="A1439">
        <v>2.73929627573321E-17</v>
      </c>
      <c r="B1439">
        <v>0.59415517204825896</v>
      </c>
      <c r="C1439">
        <v>0.33300000000000002</v>
      </c>
      <c r="D1439">
        <v>5.7000000000000002E-2</v>
      </c>
      <c r="E1439">
        <v>4.2412524237177302E-13</v>
      </c>
      <c r="F1439">
        <v>2</v>
      </c>
      <c r="G1439" t="s">
        <v>266</v>
      </c>
      <c r="H1439" t="s">
        <v>267</v>
      </c>
      <c r="I1439" t="s">
        <v>266</v>
      </c>
      <c r="J1439" s="1" t="str">
        <f>HYPERLINK("https://zfin.org/ZDB-GENE-050522-311")</f>
        <v>https://zfin.org/ZDB-GENE-050522-311</v>
      </c>
      <c r="K1439" t="s">
        <v>268</v>
      </c>
    </row>
    <row r="1440" spans="1:11" x14ac:dyDescent="0.2">
      <c r="A1440">
        <v>2.9634409913685497E-17</v>
      </c>
      <c r="B1440">
        <v>0.61334415801583797</v>
      </c>
      <c r="C1440">
        <v>0.61699999999999999</v>
      </c>
      <c r="D1440">
        <v>0.16600000000000001</v>
      </c>
      <c r="E1440">
        <v>4.5882956869359201E-13</v>
      </c>
      <c r="F1440">
        <v>2</v>
      </c>
      <c r="G1440" t="s">
        <v>3703</v>
      </c>
      <c r="H1440" t="s">
        <v>3704</v>
      </c>
      <c r="I1440" t="s">
        <v>3703</v>
      </c>
      <c r="J1440" s="1" t="str">
        <f>HYPERLINK("https://zfin.org/ZDB-GENE-040123-1")</f>
        <v>https://zfin.org/ZDB-GENE-040123-1</v>
      </c>
      <c r="K1440" t="s">
        <v>3705</v>
      </c>
    </row>
    <row r="1441" spans="1:11" x14ac:dyDescent="0.2">
      <c r="A1441">
        <v>3.2259365815276901E-17</v>
      </c>
      <c r="B1441">
        <v>0.80171070360457297</v>
      </c>
      <c r="C1441">
        <v>0.93300000000000005</v>
      </c>
      <c r="D1441">
        <v>0.48799999999999999</v>
      </c>
      <c r="E1441">
        <v>4.9947176091793196E-13</v>
      </c>
      <c r="F1441">
        <v>2</v>
      </c>
      <c r="G1441" t="s">
        <v>3095</v>
      </c>
      <c r="H1441" t="s">
        <v>3096</v>
      </c>
      <c r="I1441" t="s">
        <v>3095</v>
      </c>
      <c r="J1441" s="1" t="str">
        <f>HYPERLINK("https://zfin.org/ZDB-GENE-030131-7649")</f>
        <v>https://zfin.org/ZDB-GENE-030131-7649</v>
      </c>
      <c r="K1441" t="s">
        <v>3097</v>
      </c>
    </row>
    <row r="1442" spans="1:11" x14ac:dyDescent="0.2">
      <c r="A1442">
        <v>3.3440993762605597E-17</v>
      </c>
      <c r="B1442">
        <v>0.72945465733604797</v>
      </c>
      <c r="C1442">
        <v>0.96699999999999997</v>
      </c>
      <c r="D1442">
        <v>0.73599999999999999</v>
      </c>
      <c r="E1442">
        <v>5.1776690642642298E-13</v>
      </c>
      <c r="F1442">
        <v>2</v>
      </c>
      <c r="G1442" t="s">
        <v>2850</v>
      </c>
      <c r="H1442" t="s">
        <v>2851</v>
      </c>
      <c r="I1442" t="s">
        <v>2850</v>
      </c>
      <c r="J1442" s="1" t="str">
        <f>HYPERLINK("https://zfin.org/ZDB-GENE-110411-22")</f>
        <v>https://zfin.org/ZDB-GENE-110411-22</v>
      </c>
      <c r="K1442" t="s">
        <v>2852</v>
      </c>
    </row>
    <row r="1443" spans="1:11" x14ac:dyDescent="0.2">
      <c r="A1443">
        <v>3.4531445182427599E-17</v>
      </c>
      <c r="B1443">
        <v>-0.91248970510440996</v>
      </c>
      <c r="C1443">
        <v>0.88300000000000001</v>
      </c>
      <c r="D1443">
        <v>0.95699999999999996</v>
      </c>
      <c r="E1443">
        <v>5.3465036575952697E-13</v>
      </c>
      <c r="F1443">
        <v>2</v>
      </c>
      <c r="G1443" t="s">
        <v>2221</v>
      </c>
      <c r="H1443" t="s">
        <v>2222</v>
      </c>
      <c r="I1443" t="s">
        <v>2221</v>
      </c>
      <c r="J1443" s="1" t="str">
        <f>HYPERLINK("https://zfin.org/ZDB-GENE-050208-726")</f>
        <v>https://zfin.org/ZDB-GENE-050208-726</v>
      </c>
      <c r="K1443" t="s">
        <v>2223</v>
      </c>
    </row>
    <row r="1444" spans="1:11" x14ac:dyDescent="0.2">
      <c r="A1444">
        <v>4.1380275055067002E-17</v>
      </c>
      <c r="B1444">
        <v>0.62757789527304098</v>
      </c>
      <c r="C1444">
        <v>0.45</v>
      </c>
      <c r="D1444">
        <v>0.1</v>
      </c>
      <c r="E1444">
        <v>6.4069079867760197E-13</v>
      </c>
      <c r="F1444">
        <v>2</v>
      </c>
      <c r="G1444" t="s">
        <v>3706</v>
      </c>
      <c r="H1444" t="s">
        <v>3707</v>
      </c>
      <c r="I1444" t="s">
        <v>3706</v>
      </c>
      <c r="J1444" s="1" t="str">
        <f>HYPERLINK("https://zfin.org/ZDB-GENE-040625-140")</f>
        <v>https://zfin.org/ZDB-GENE-040625-140</v>
      </c>
      <c r="K1444" t="s">
        <v>3708</v>
      </c>
    </row>
    <row r="1445" spans="1:11" x14ac:dyDescent="0.2">
      <c r="A1445">
        <v>4.3847693844537901E-17</v>
      </c>
      <c r="B1445">
        <v>-1.7097959620913701</v>
      </c>
      <c r="C1445">
        <v>0.56699999999999995</v>
      </c>
      <c r="D1445">
        <v>0.84599999999999997</v>
      </c>
      <c r="E1445">
        <v>6.7889384379498102E-13</v>
      </c>
      <c r="F1445">
        <v>2</v>
      </c>
      <c r="G1445" t="s">
        <v>1811</v>
      </c>
      <c r="H1445" t="s">
        <v>1812</v>
      </c>
      <c r="I1445" t="s">
        <v>1813</v>
      </c>
      <c r="J1445" s="1" t="str">
        <f>HYPERLINK("https://zfin.org/")</f>
        <v>https://zfin.org/</v>
      </c>
    </row>
    <row r="1446" spans="1:11" x14ac:dyDescent="0.2">
      <c r="A1446">
        <v>4.8755232165297397E-17</v>
      </c>
      <c r="B1446">
        <v>0.52493620903313798</v>
      </c>
      <c r="C1446">
        <v>0.36699999999999999</v>
      </c>
      <c r="D1446">
        <v>6.7000000000000004E-2</v>
      </c>
      <c r="E1446">
        <v>7.5487725961529904E-13</v>
      </c>
      <c r="F1446">
        <v>2</v>
      </c>
      <c r="G1446" t="s">
        <v>207</v>
      </c>
      <c r="H1446" t="s">
        <v>208</v>
      </c>
      <c r="I1446" t="s">
        <v>207</v>
      </c>
      <c r="J1446" s="1" t="str">
        <f>HYPERLINK("https://zfin.org/ZDB-GENE-061013-787")</f>
        <v>https://zfin.org/ZDB-GENE-061013-787</v>
      </c>
      <c r="K1446" t="s">
        <v>209</v>
      </c>
    </row>
    <row r="1447" spans="1:11" x14ac:dyDescent="0.2">
      <c r="A1447">
        <v>8.5473664105467496E-17</v>
      </c>
      <c r="B1447">
        <v>0.54631683008176701</v>
      </c>
      <c r="C1447">
        <v>0.23300000000000001</v>
      </c>
      <c r="D1447">
        <v>2.9000000000000001E-2</v>
      </c>
      <c r="E1447">
        <v>1.3233887413449499E-12</v>
      </c>
      <c r="F1447">
        <v>2</v>
      </c>
      <c r="G1447" t="s">
        <v>785</v>
      </c>
      <c r="H1447" t="s">
        <v>786</v>
      </c>
      <c r="I1447" t="s">
        <v>785</v>
      </c>
      <c r="J1447" s="1" t="str">
        <f>HYPERLINK("https://zfin.org/ZDB-GENE-090312-136")</f>
        <v>https://zfin.org/ZDB-GENE-090312-136</v>
      </c>
      <c r="K1447" t="s">
        <v>787</v>
      </c>
    </row>
    <row r="1448" spans="1:11" x14ac:dyDescent="0.2">
      <c r="A1448">
        <v>1.02333985123169E-16</v>
      </c>
      <c r="B1448">
        <v>0.71085848377125904</v>
      </c>
      <c r="C1448">
        <v>0.66700000000000004</v>
      </c>
      <c r="D1448">
        <v>0.215</v>
      </c>
      <c r="E1448">
        <v>1.5844370916620299E-12</v>
      </c>
      <c r="F1448">
        <v>2</v>
      </c>
      <c r="G1448" t="s">
        <v>3709</v>
      </c>
      <c r="H1448" t="s">
        <v>3710</v>
      </c>
      <c r="I1448" t="s">
        <v>3709</v>
      </c>
      <c r="J1448" s="1" t="str">
        <f>HYPERLINK("https://zfin.org/ZDB-GENE-040625-34")</f>
        <v>https://zfin.org/ZDB-GENE-040625-34</v>
      </c>
      <c r="K1448" t="s">
        <v>3711</v>
      </c>
    </row>
    <row r="1449" spans="1:11" x14ac:dyDescent="0.2">
      <c r="A1449">
        <v>1.12344660893103E-16</v>
      </c>
      <c r="B1449">
        <v>-1.6061121409105701</v>
      </c>
      <c r="C1449">
        <v>0.4</v>
      </c>
      <c r="D1449">
        <v>0.78300000000000003</v>
      </c>
      <c r="E1449">
        <v>1.73943238460791E-12</v>
      </c>
      <c r="F1449">
        <v>2</v>
      </c>
      <c r="G1449" t="s">
        <v>1901</v>
      </c>
      <c r="H1449" t="s">
        <v>1902</v>
      </c>
      <c r="I1449" t="s">
        <v>1901</v>
      </c>
      <c r="J1449" s="1" t="str">
        <f>HYPERLINK("https://zfin.org/ZDB-GENE-010129-1")</f>
        <v>https://zfin.org/ZDB-GENE-010129-1</v>
      </c>
      <c r="K1449" t="s">
        <v>1903</v>
      </c>
    </row>
    <row r="1450" spans="1:11" x14ac:dyDescent="0.2">
      <c r="A1450">
        <v>1.12538650782004E-16</v>
      </c>
      <c r="B1450">
        <v>0.529370679425198</v>
      </c>
      <c r="C1450">
        <v>0.433</v>
      </c>
      <c r="D1450">
        <v>9.0999999999999998E-2</v>
      </c>
      <c r="E1450">
        <v>1.7424359300577701E-12</v>
      </c>
      <c r="F1450">
        <v>2</v>
      </c>
      <c r="G1450" t="s">
        <v>91</v>
      </c>
      <c r="H1450" t="s">
        <v>92</v>
      </c>
      <c r="I1450" t="s">
        <v>91</v>
      </c>
      <c r="J1450" s="1" t="str">
        <f>HYPERLINK("https://zfin.org/")</f>
        <v>https://zfin.org/</v>
      </c>
      <c r="K1450" t="s">
        <v>93</v>
      </c>
    </row>
    <row r="1451" spans="1:11" x14ac:dyDescent="0.2">
      <c r="A1451">
        <v>1.1283862250771501E-16</v>
      </c>
      <c r="B1451">
        <v>0.70444757752020004</v>
      </c>
      <c r="C1451">
        <v>0.433</v>
      </c>
      <c r="D1451">
        <v>9.7000000000000003E-2</v>
      </c>
      <c r="E1451">
        <v>1.7470803922869599E-12</v>
      </c>
      <c r="F1451">
        <v>2</v>
      </c>
      <c r="G1451" t="s">
        <v>352</v>
      </c>
      <c r="H1451" t="s">
        <v>353</v>
      </c>
      <c r="I1451" t="s">
        <v>352</v>
      </c>
      <c r="J1451" s="1" t="str">
        <f>HYPERLINK("https://zfin.org/ZDB-GENE-050522-504")</f>
        <v>https://zfin.org/ZDB-GENE-050522-504</v>
      </c>
      <c r="K1451" t="s">
        <v>354</v>
      </c>
    </row>
    <row r="1452" spans="1:11" x14ac:dyDescent="0.2">
      <c r="A1452">
        <v>1.41850757496998E-16</v>
      </c>
      <c r="B1452">
        <v>-1.94135608433333</v>
      </c>
      <c r="C1452">
        <v>0.28299999999999997</v>
      </c>
      <c r="D1452">
        <v>0.74099999999999999</v>
      </c>
      <c r="E1452">
        <v>2.1962752783260299E-12</v>
      </c>
      <c r="F1452">
        <v>2</v>
      </c>
      <c r="G1452" t="s">
        <v>2057</v>
      </c>
      <c r="H1452" t="s">
        <v>2058</v>
      </c>
      <c r="I1452" t="s">
        <v>2057</v>
      </c>
      <c r="J1452" s="1" t="str">
        <f>HYPERLINK("https://zfin.org/ZDB-GENE-041121-18")</f>
        <v>https://zfin.org/ZDB-GENE-041121-18</v>
      </c>
      <c r="K1452" t="s">
        <v>2059</v>
      </c>
    </row>
    <row r="1453" spans="1:11" x14ac:dyDescent="0.2">
      <c r="A1453">
        <v>1.5042623771100301E-16</v>
      </c>
      <c r="B1453">
        <v>0.63862385767571705</v>
      </c>
      <c r="C1453">
        <v>0.48299999999999998</v>
      </c>
      <c r="D1453">
        <v>0.114</v>
      </c>
      <c r="E1453">
        <v>2.3290494384794599E-12</v>
      </c>
      <c r="F1453">
        <v>2</v>
      </c>
      <c r="G1453" t="s">
        <v>3712</v>
      </c>
      <c r="H1453" t="s">
        <v>3713</v>
      </c>
      <c r="I1453" t="s">
        <v>3712</v>
      </c>
      <c r="J1453" s="1" t="str">
        <f>HYPERLINK("https://zfin.org/ZDB-GENE-040625-127")</f>
        <v>https://zfin.org/ZDB-GENE-040625-127</v>
      </c>
      <c r="K1453" t="s">
        <v>3714</v>
      </c>
    </row>
    <row r="1454" spans="1:11" x14ac:dyDescent="0.2">
      <c r="A1454">
        <v>1.6136036474920301E-16</v>
      </c>
      <c r="B1454">
        <v>0.85970789804962899</v>
      </c>
      <c r="C1454">
        <v>0.83299999999999996</v>
      </c>
      <c r="D1454">
        <v>0.375</v>
      </c>
      <c r="E1454">
        <v>2.4983425274119099E-12</v>
      </c>
      <c r="F1454">
        <v>2</v>
      </c>
      <c r="G1454" t="s">
        <v>3715</v>
      </c>
      <c r="H1454" t="s">
        <v>3716</v>
      </c>
      <c r="I1454" t="s">
        <v>3715</v>
      </c>
      <c r="J1454" s="1" t="str">
        <f>HYPERLINK("https://zfin.org/ZDB-GENE-050417-333")</f>
        <v>https://zfin.org/ZDB-GENE-050417-333</v>
      </c>
      <c r="K1454" t="s">
        <v>3717</v>
      </c>
    </row>
    <row r="1455" spans="1:11" x14ac:dyDescent="0.2">
      <c r="A1455">
        <v>1.6307206113631201E-16</v>
      </c>
      <c r="B1455">
        <v>-1.2582107051520299</v>
      </c>
      <c r="C1455">
        <v>0.65</v>
      </c>
      <c r="D1455">
        <v>0.83799999999999997</v>
      </c>
      <c r="E1455">
        <v>2.5248447225735201E-12</v>
      </c>
      <c r="F1455">
        <v>2</v>
      </c>
      <c r="G1455" t="s">
        <v>2198</v>
      </c>
      <c r="H1455" t="s">
        <v>2199</v>
      </c>
      <c r="I1455" t="s">
        <v>2198</v>
      </c>
      <c r="J1455" s="1" t="str">
        <f>HYPERLINK("https://zfin.org/ZDB-GENE-040426-2740")</f>
        <v>https://zfin.org/ZDB-GENE-040426-2740</v>
      </c>
      <c r="K1455" t="s">
        <v>2200</v>
      </c>
    </row>
    <row r="1456" spans="1:11" x14ac:dyDescent="0.2">
      <c r="A1456">
        <v>1.64878279899415E-16</v>
      </c>
      <c r="B1456">
        <v>0.84976034526625899</v>
      </c>
      <c r="C1456">
        <v>0.81699999999999995</v>
      </c>
      <c r="D1456">
        <v>0.41</v>
      </c>
      <c r="E1456">
        <v>2.55281040768264E-12</v>
      </c>
      <c r="F1456">
        <v>2</v>
      </c>
      <c r="G1456" t="s">
        <v>3718</v>
      </c>
      <c r="H1456" t="s">
        <v>3719</v>
      </c>
      <c r="I1456" t="s">
        <v>3718</v>
      </c>
      <c r="J1456" s="1" t="str">
        <f>HYPERLINK("https://zfin.org/ZDB-GENE-030131-977")</f>
        <v>https://zfin.org/ZDB-GENE-030131-977</v>
      </c>
      <c r="K1456" t="s">
        <v>3720</v>
      </c>
    </row>
    <row r="1457" spans="1:11" x14ac:dyDescent="0.2">
      <c r="A1457">
        <v>1.92514951084819E-16</v>
      </c>
      <c r="B1457">
        <v>0.86331861396612997</v>
      </c>
      <c r="C1457">
        <v>0.86699999999999999</v>
      </c>
      <c r="D1457">
        <v>0.49399999999999999</v>
      </c>
      <c r="E1457">
        <v>2.9807089876462502E-12</v>
      </c>
      <c r="F1457">
        <v>2</v>
      </c>
      <c r="G1457" t="s">
        <v>1048</v>
      </c>
      <c r="H1457" t="s">
        <v>1049</v>
      </c>
      <c r="I1457" t="s">
        <v>1048</v>
      </c>
      <c r="J1457" s="1" t="str">
        <f>HYPERLINK("https://zfin.org/ZDB-GENE-050522-153")</f>
        <v>https://zfin.org/ZDB-GENE-050522-153</v>
      </c>
      <c r="K1457" t="s">
        <v>1050</v>
      </c>
    </row>
    <row r="1458" spans="1:11" x14ac:dyDescent="0.2">
      <c r="A1458">
        <v>2.1198895995230501E-16</v>
      </c>
      <c r="B1458">
        <v>0.28410893190278502</v>
      </c>
      <c r="C1458">
        <v>0.16700000000000001</v>
      </c>
      <c r="D1458">
        <v>1.4E-2</v>
      </c>
      <c r="E1458">
        <v>3.28222506694153E-12</v>
      </c>
      <c r="F1458">
        <v>2</v>
      </c>
      <c r="G1458" t="s">
        <v>3721</v>
      </c>
      <c r="H1458" t="s">
        <v>3722</v>
      </c>
      <c r="I1458" t="s">
        <v>3721</v>
      </c>
      <c r="J1458" s="1" t="str">
        <f>HYPERLINK("https://zfin.org/ZDB-GENE-050208-496")</f>
        <v>https://zfin.org/ZDB-GENE-050208-496</v>
      </c>
      <c r="K1458" t="s">
        <v>3723</v>
      </c>
    </row>
    <row r="1459" spans="1:11" x14ac:dyDescent="0.2">
      <c r="A1459">
        <v>2.4117219296289898E-16</v>
      </c>
      <c r="B1459">
        <v>0.57158903198491295</v>
      </c>
      <c r="C1459">
        <v>0.38300000000000001</v>
      </c>
      <c r="D1459">
        <v>7.6999999999999999E-2</v>
      </c>
      <c r="E1459">
        <v>3.7340690636445699E-12</v>
      </c>
      <c r="F1459">
        <v>2</v>
      </c>
      <c r="G1459" t="s">
        <v>3724</v>
      </c>
      <c r="H1459" t="s">
        <v>3725</v>
      </c>
      <c r="I1459" t="s">
        <v>3724</v>
      </c>
      <c r="J1459" s="1" t="str">
        <f>HYPERLINK("https://zfin.org/ZDB-GENE-090417-1")</f>
        <v>https://zfin.org/ZDB-GENE-090417-1</v>
      </c>
      <c r="K1459" t="s">
        <v>3726</v>
      </c>
    </row>
    <row r="1460" spans="1:11" x14ac:dyDescent="0.2">
      <c r="A1460">
        <v>2.6667868182759702E-16</v>
      </c>
      <c r="B1460">
        <v>0.43973984398147697</v>
      </c>
      <c r="C1460">
        <v>0.26700000000000002</v>
      </c>
      <c r="D1460">
        <v>3.7999999999999999E-2</v>
      </c>
      <c r="E1460">
        <v>4.1289860307366897E-12</v>
      </c>
      <c r="F1460">
        <v>2</v>
      </c>
      <c r="G1460" t="s">
        <v>711</v>
      </c>
      <c r="H1460" t="s">
        <v>712</v>
      </c>
      <c r="I1460" t="s">
        <v>711</v>
      </c>
      <c r="J1460" s="1" t="str">
        <f>HYPERLINK("https://zfin.org/ZDB-GENE-040718-253")</f>
        <v>https://zfin.org/ZDB-GENE-040718-253</v>
      </c>
      <c r="K1460" t="s">
        <v>713</v>
      </c>
    </row>
    <row r="1461" spans="1:11" x14ac:dyDescent="0.2">
      <c r="A1461">
        <v>2.66836378396324E-16</v>
      </c>
      <c r="B1461">
        <v>0.54601768242143101</v>
      </c>
      <c r="C1461">
        <v>0.36699999999999999</v>
      </c>
      <c r="D1461">
        <v>7.0000000000000007E-2</v>
      </c>
      <c r="E1461">
        <v>4.1314276467102798E-12</v>
      </c>
      <c r="F1461">
        <v>2</v>
      </c>
      <c r="G1461" t="s">
        <v>168</v>
      </c>
      <c r="H1461" t="s">
        <v>169</v>
      </c>
      <c r="I1461" t="s">
        <v>168</v>
      </c>
      <c r="J1461" s="1" t="str">
        <f>HYPERLINK("https://zfin.org/ZDB-GENE-070705-453")</f>
        <v>https://zfin.org/ZDB-GENE-070705-453</v>
      </c>
      <c r="K1461" t="s">
        <v>170</v>
      </c>
    </row>
    <row r="1462" spans="1:11" x14ac:dyDescent="0.2">
      <c r="A1462">
        <v>2.71469751374535E-16</v>
      </c>
      <c r="B1462">
        <v>-1.1396448309496101</v>
      </c>
      <c r="C1462">
        <v>0.63300000000000001</v>
      </c>
      <c r="D1462">
        <v>0.89</v>
      </c>
      <c r="E1462">
        <v>4.20316616053192E-12</v>
      </c>
      <c r="F1462">
        <v>2</v>
      </c>
      <c r="G1462" t="s">
        <v>1624</v>
      </c>
      <c r="H1462" t="s">
        <v>1625</v>
      </c>
      <c r="I1462" t="s">
        <v>1624</v>
      </c>
      <c r="J1462" s="1" t="str">
        <f>HYPERLINK("https://zfin.org/ZDB-GENE-990708-8")</f>
        <v>https://zfin.org/ZDB-GENE-990708-8</v>
      </c>
      <c r="K1462" t="s">
        <v>1626</v>
      </c>
    </row>
    <row r="1463" spans="1:11" x14ac:dyDescent="0.2">
      <c r="A1463">
        <v>2.8987597294606201E-16</v>
      </c>
      <c r="B1463">
        <v>-1.4082068492951501</v>
      </c>
      <c r="C1463">
        <v>0.61699999999999999</v>
      </c>
      <c r="D1463">
        <v>0.85699999999999998</v>
      </c>
      <c r="E1463">
        <v>4.4881496891238701E-12</v>
      </c>
      <c r="F1463">
        <v>2</v>
      </c>
      <c r="G1463" t="s">
        <v>1745</v>
      </c>
      <c r="H1463" t="s">
        <v>1746</v>
      </c>
      <c r="I1463" t="s">
        <v>1745</v>
      </c>
      <c r="J1463" s="1" t="str">
        <f>HYPERLINK("https://zfin.org/ZDB-GENE-061111-1")</f>
        <v>https://zfin.org/ZDB-GENE-061111-1</v>
      </c>
      <c r="K1463" t="s">
        <v>1747</v>
      </c>
    </row>
    <row r="1464" spans="1:11" x14ac:dyDescent="0.2">
      <c r="A1464">
        <v>2.97050380581956E-16</v>
      </c>
      <c r="B1464">
        <v>0.393152156396187</v>
      </c>
      <c r="C1464">
        <v>0.25</v>
      </c>
      <c r="D1464">
        <v>3.3000000000000002E-2</v>
      </c>
      <c r="E1464">
        <v>4.5992310425504302E-12</v>
      </c>
      <c r="F1464">
        <v>2</v>
      </c>
      <c r="G1464" t="s">
        <v>3727</v>
      </c>
      <c r="H1464" t="s">
        <v>3728</v>
      </c>
      <c r="I1464" t="s">
        <v>3727</v>
      </c>
      <c r="J1464" s="1" t="str">
        <f>HYPERLINK("https://zfin.org/ZDB-GENE-041111-281")</f>
        <v>https://zfin.org/ZDB-GENE-041111-281</v>
      </c>
      <c r="K1464" t="s">
        <v>3729</v>
      </c>
    </row>
    <row r="1465" spans="1:11" x14ac:dyDescent="0.2">
      <c r="A1465">
        <v>3.4952616187331498E-16</v>
      </c>
      <c r="B1465">
        <v>1.1865728569687299</v>
      </c>
      <c r="C1465">
        <v>0.95</v>
      </c>
      <c r="D1465">
        <v>0.59099999999999997</v>
      </c>
      <c r="E1465">
        <v>5.4117135642845402E-12</v>
      </c>
      <c r="F1465">
        <v>2</v>
      </c>
      <c r="G1465" t="s">
        <v>3730</v>
      </c>
      <c r="H1465" t="s">
        <v>3731</v>
      </c>
      <c r="I1465" t="s">
        <v>3730</v>
      </c>
      <c r="J1465" s="1" t="str">
        <f>HYPERLINK("https://zfin.org/ZDB-GENE-050506-24")</f>
        <v>https://zfin.org/ZDB-GENE-050506-24</v>
      </c>
      <c r="K1465" t="s">
        <v>3732</v>
      </c>
    </row>
    <row r="1466" spans="1:11" x14ac:dyDescent="0.2">
      <c r="A1466">
        <v>3.7041125993697801E-16</v>
      </c>
      <c r="B1466">
        <v>1.1811016333620199</v>
      </c>
      <c r="C1466">
        <v>0.93300000000000005</v>
      </c>
      <c r="D1466">
        <v>0.54800000000000004</v>
      </c>
      <c r="E1466">
        <v>5.7350775376042296E-12</v>
      </c>
      <c r="F1466">
        <v>2</v>
      </c>
      <c r="G1466" t="s">
        <v>3733</v>
      </c>
      <c r="H1466" t="s">
        <v>3734</v>
      </c>
      <c r="I1466" t="s">
        <v>3733</v>
      </c>
      <c r="J1466" s="1" t="str">
        <f>HYPERLINK("https://zfin.org/ZDB-GENE-010502-1")</f>
        <v>https://zfin.org/ZDB-GENE-010502-1</v>
      </c>
      <c r="K1466" t="s">
        <v>3735</v>
      </c>
    </row>
    <row r="1467" spans="1:11" x14ac:dyDescent="0.2">
      <c r="A1467">
        <v>4.2583547619294298E-16</v>
      </c>
      <c r="B1467">
        <v>-1.4483071340687099</v>
      </c>
      <c r="C1467">
        <v>0.71699999999999997</v>
      </c>
      <c r="D1467">
        <v>0.876</v>
      </c>
      <c r="E1467">
        <v>6.5932106778953304E-12</v>
      </c>
      <c r="F1467">
        <v>2</v>
      </c>
      <c r="G1467" t="s">
        <v>1685</v>
      </c>
      <c r="H1467" t="s">
        <v>1686</v>
      </c>
      <c r="I1467" t="s">
        <v>1685</v>
      </c>
      <c r="J1467" s="1" t="str">
        <f>HYPERLINK("https://zfin.org/ZDB-GENE-031001-11")</f>
        <v>https://zfin.org/ZDB-GENE-031001-11</v>
      </c>
      <c r="K1467" t="s">
        <v>1687</v>
      </c>
    </row>
    <row r="1468" spans="1:11" x14ac:dyDescent="0.2">
      <c r="A1468">
        <v>5.46812064239985E-16</v>
      </c>
      <c r="B1468">
        <v>0.80987998171761999</v>
      </c>
      <c r="C1468">
        <v>0.83299999999999996</v>
      </c>
      <c r="D1468">
        <v>0.39</v>
      </c>
      <c r="E1468">
        <v>8.4662911906276807E-12</v>
      </c>
      <c r="F1468">
        <v>2</v>
      </c>
      <c r="G1468" t="s">
        <v>3736</v>
      </c>
      <c r="H1468" t="s">
        <v>3737</v>
      </c>
      <c r="I1468" t="s">
        <v>3736</v>
      </c>
      <c r="J1468" s="1" t="str">
        <f>HYPERLINK("https://zfin.org/ZDB-GENE-040426-2194")</f>
        <v>https://zfin.org/ZDB-GENE-040426-2194</v>
      </c>
      <c r="K1468" t="s">
        <v>3738</v>
      </c>
    </row>
    <row r="1469" spans="1:11" x14ac:dyDescent="0.2">
      <c r="A1469">
        <v>5.8456883266129796E-16</v>
      </c>
      <c r="B1469">
        <v>-1.13854013025745</v>
      </c>
      <c r="C1469">
        <v>0.95</v>
      </c>
      <c r="D1469">
        <v>0.98299999999999998</v>
      </c>
      <c r="E1469">
        <v>9.05087923609487E-12</v>
      </c>
      <c r="F1469">
        <v>2</v>
      </c>
      <c r="G1469" t="s">
        <v>2817</v>
      </c>
      <c r="H1469" t="s">
        <v>2818</v>
      </c>
      <c r="I1469" t="s">
        <v>2817</v>
      </c>
      <c r="J1469" s="1" t="str">
        <f>HYPERLINK("https://zfin.org/ZDB-GENE-031222-4")</f>
        <v>https://zfin.org/ZDB-GENE-031222-4</v>
      </c>
      <c r="K1469" t="s">
        <v>2819</v>
      </c>
    </row>
    <row r="1470" spans="1:11" x14ac:dyDescent="0.2">
      <c r="A1470">
        <v>7.0696185096175103E-16</v>
      </c>
      <c r="B1470">
        <v>0.86550413876503696</v>
      </c>
      <c r="C1470">
        <v>0.88300000000000001</v>
      </c>
      <c r="D1470">
        <v>0.48</v>
      </c>
      <c r="E1470">
        <v>1.09458903384408E-11</v>
      </c>
      <c r="F1470">
        <v>2</v>
      </c>
      <c r="G1470" t="s">
        <v>3305</v>
      </c>
      <c r="H1470" t="s">
        <v>3306</v>
      </c>
      <c r="I1470" t="s">
        <v>3305</v>
      </c>
      <c r="J1470" s="1" t="str">
        <f>HYPERLINK("https://zfin.org/ZDB-GENE-030131-9796")</f>
        <v>https://zfin.org/ZDB-GENE-030131-9796</v>
      </c>
      <c r="K1470" t="s">
        <v>3307</v>
      </c>
    </row>
    <row r="1471" spans="1:11" x14ac:dyDescent="0.2">
      <c r="A1471">
        <v>7.5860471904343296E-16</v>
      </c>
      <c r="B1471">
        <v>0.88791332950608803</v>
      </c>
      <c r="C1471">
        <v>0.9</v>
      </c>
      <c r="D1471">
        <v>0.52800000000000002</v>
      </c>
      <c r="E1471">
        <v>1.1745476864949501E-11</v>
      </c>
      <c r="F1471">
        <v>2</v>
      </c>
      <c r="G1471" t="s">
        <v>3739</v>
      </c>
      <c r="H1471" t="s">
        <v>3740</v>
      </c>
      <c r="I1471" t="s">
        <v>3739</v>
      </c>
      <c r="J1471" s="1" t="str">
        <f>HYPERLINK("https://zfin.org/ZDB-GENE-040801-10")</f>
        <v>https://zfin.org/ZDB-GENE-040801-10</v>
      </c>
      <c r="K1471" t="s">
        <v>3741</v>
      </c>
    </row>
    <row r="1472" spans="1:11" x14ac:dyDescent="0.2">
      <c r="A1472">
        <v>7.9343172048537896E-16</v>
      </c>
      <c r="B1472">
        <v>0.484763246354457</v>
      </c>
      <c r="C1472">
        <v>0.36699999999999999</v>
      </c>
      <c r="D1472">
        <v>7.0000000000000007E-2</v>
      </c>
      <c r="E1472">
        <v>1.2284703328275101E-11</v>
      </c>
      <c r="F1472">
        <v>2</v>
      </c>
      <c r="G1472" t="s">
        <v>293</v>
      </c>
      <c r="H1472" t="s">
        <v>294</v>
      </c>
      <c r="I1472" t="s">
        <v>293</v>
      </c>
      <c r="J1472" s="1" t="str">
        <f>HYPERLINK("https://zfin.org/ZDB-GENE-030131-2193")</f>
        <v>https://zfin.org/ZDB-GENE-030131-2193</v>
      </c>
      <c r="K1472" t="s">
        <v>295</v>
      </c>
    </row>
    <row r="1473" spans="1:11" x14ac:dyDescent="0.2">
      <c r="A1473">
        <v>8.1927633163672697E-16</v>
      </c>
      <c r="B1473">
        <v>0.51416470118361302</v>
      </c>
      <c r="C1473">
        <v>0.51700000000000002</v>
      </c>
      <c r="D1473">
        <v>0.128</v>
      </c>
      <c r="E1473">
        <v>1.2684855442731401E-11</v>
      </c>
      <c r="F1473">
        <v>2</v>
      </c>
      <c r="G1473" t="s">
        <v>2621</v>
      </c>
      <c r="H1473" t="s">
        <v>2622</v>
      </c>
      <c r="I1473" t="s">
        <v>2621</v>
      </c>
      <c r="J1473" s="1" t="str">
        <f>HYPERLINK("https://zfin.org/ZDB-GENE-091204-298")</f>
        <v>https://zfin.org/ZDB-GENE-091204-298</v>
      </c>
      <c r="K1473" t="s">
        <v>2623</v>
      </c>
    </row>
    <row r="1474" spans="1:11" x14ac:dyDescent="0.2">
      <c r="A1474">
        <v>8.7195656415024101E-16</v>
      </c>
      <c r="B1474">
        <v>0.492749848128477</v>
      </c>
      <c r="C1474">
        <v>0.433</v>
      </c>
      <c r="D1474">
        <v>9.6000000000000002E-2</v>
      </c>
      <c r="E1474">
        <v>1.35005034827382E-11</v>
      </c>
      <c r="F1474">
        <v>2</v>
      </c>
      <c r="G1474" t="s">
        <v>3742</v>
      </c>
      <c r="H1474" t="s">
        <v>3743</v>
      </c>
      <c r="I1474" t="s">
        <v>3742</v>
      </c>
      <c r="J1474" s="1" t="str">
        <f>HYPERLINK("https://zfin.org/ZDB-GENE-030131-2900")</f>
        <v>https://zfin.org/ZDB-GENE-030131-2900</v>
      </c>
      <c r="K1474" t="s">
        <v>3744</v>
      </c>
    </row>
    <row r="1475" spans="1:11" x14ac:dyDescent="0.2">
      <c r="A1475">
        <v>8.7914842500911498E-16</v>
      </c>
      <c r="B1475">
        <v>0.88001810515263001</v>
      </c>
      <c r="C1475">
        <v>0.88300000000000001</v>
      </c>
      <c r="D1475">
        <v>0.47199999999999998</v>
      </c>
      <c r="E1475">
        <v>1.3611855064416101E-11</v>
      </c>
      <c r="F1475">
        <v>2</v>
      </c>
      <c r="G1475" t="s">
        <v>3745</v>
      </c>
      <c r="H1475" t="s">
        <v>3746</v>
      </c>
      <c r="I1475" t="s">
        <v>3745</v>
      </c>
      <c r="J1475" s="1" t="str">
        <f>HYPERLINK("https://zfin.org/ZDB-GENE-040618-2")</f>
        <v>https://zfin.org/ZDB-GENE-040618-2</v>
      </c>
      <c r="K1475" t="s">
        <v>3747</v>
      </c>
    </row>
    <row r="1476" spans="1:11" x14ac:dyDescent="0.2">
      <c r="A1476">
        <v>9.6717056082264406E-16</v>
      </c>
      <c r="B1476">
        <v>0.493352394392085</v>
      </c>
      <c r="C1476">
        <v>0.25</v>
      </c>
      <c r="D1476">
        <v>3.5999999999999997E-2</v>
      </c>
      <c r="E1476">
        <v>1.4974701793217E-11</v>
      </c>
      <c r="F1476">
        <v>2</v>
      </c>
      <c r="G1476" t="s">
        <v>648</v>
      </c>
      <c r="H1476" t="s">
        <v>649</v>
      </c>
      <c r="I1476" t="s">
        <v>648</v>
      </c>
      <c r="J1476" s="1" t="str">
        <f>HYPERLINK("https://zfin.org/ZDB-GENE-110421-1")</f>
        <v>https://zfin.org/ZDB-GENE-110421-1</v>
      </c>
      <c r="K1476" t="s">
        <v>650</v>
      </c>
    </row>
    <row r="1477" spans="1:11" x14ac:dyDescent="0.2">
      <c r="A1477">
        <v>9.8508936082291003E-16</v>
      </c>
      <c r="B1477">
        <v>0.77264837866231395</v>
      </c>
      <c r="C1477">
        <v>0.58299999999999996</v>
      </c>
      <c r="D1477">
        <v>0.18</v>
      </c>
      <c r="E1477">
        <v>1.52521385736211E-11</v>
      </c>
      <c r="F1477">
        <v>2</v>
      </c>
      <c r="G1477" t="s">
        <v>1961</v>
      </c>
      <c r="H1477" t="s">
        <v>1962</v>
      </c>
      <c r="I1477" t="s">
        <v>1961</v>
      </c>
      <c r="J1477" s="1" t="str">
        <f>HYPERLINK("https://zfin.org/ZDB-GENE-030131-3231")</f>
        <v>https://zfin.org/ZDB-GENE-030131-3231</v>
      </c>
      <c r="K1477" t="s">
        <v>1963</v>
      </c>
    </row>
    <row r="1478" spans="1:11" x14ac:dyDescent="0.2">
      <c r="A1478">
        <v>9.9013441192053293E-16</v>
      </c>
      <c r="B1478">
        <v>0.31576967085435298</v>
      </c>
      <c r="C1478">
        <v>0.16700000000000001</v>
      </c>
      <c r="D1478">
        <v>1.4999999999999999E-2</v>
      </c>
      <c r="E1478">
        <v>1.5330251099765601E-11</v>
      </c>
      <c r="F1478">
        <v>2</v>
      </c>
      <c r="G1478" t="s">
        <v>3748</v>
      </c>
      <c r="H1478" t="s">
        <v>3749</v>
      </c>
      <c r="I1478" t="s">
        <v>3748</v>
      </c>
      <c r="J1478" s="1" t="str">
        <f>HYPERLINK("https://zfin.org/ZDB-GENE-031006-13")</f>
        <v>https://zfin.org/ZDB-GENE-031006-13</v>
      </c>
      <c r="K1478" t="s">
        <v>3750</v>
      </c>
    </row>
    <row r="1479" spans="1:11" x14ac:dyDescent="0.2">
      <c r="A1479">
        <v>1.0037005044757501E-15</v>
      </c>
      <c r="B1479">
        <v>0.29551432490906998</v>
      </c>
      <c r="C1479">
        <v>0.2</v>
      </c>
      <c r="D1479">
        <v>2.1999999999999999E-2</v>
      </c>
      <c r="E1479">
        <v>1.5540294910798101E-11</v>
      </c>
      <c r="F1479">
        <v>2</v>
      </c>
      <c r="G1479" t="s">
        <v>3751</v>
      </c>
      <c r="H1479" t="s">
        <v>3752</v>
      </c>
      <c r="I1479" t="s">
        <v>3751</v>
      </c>
      <c r="J1479" s="1" t="str">
        <f>HYPERLINK("https://zfin.org/")</f>
        <v>https://zfin.org/</v>
      </c>
      <c r="K1479" t="s">
        <v>3753</v>
      </c>
    </row>
    <row r="1480" spans="1:11" x14ac:dyDescent="0.2">
      <c r="A1480">
        <v>1.0312111855099199E-15</v>
      </c>
      <c r="B1480">
        <v>0.50014886738645303</v>
      </c>
      <c r="C1480">
        <v>0.3</v>
      </c>
      <c r="D1480">
        <v>0.05</v>
      </c>
      <c r="E1480">
        <v>1.59662427852502E-11</v>
      </c>
      <c r="F1480">
        <v>2</v>
      </c>
      <c r="G1480" t="s">
        <v>3754</v>
      </c>
      <c r="H1480" t="s">
        <v>3755</v>
      </c>
      <c r="I1480" t="s">
        <v>3754</v>
      </c>
      <c r="J1480" s="1" t="str">
        <f>HYPERLINK("https://zfin.org/ZDB-GENE-030131-2081")</f>
        <v>https://zfin.org/ZDB-GENE-030131-2081</v>
      </c>
      <c r="K1480" t="s">
        <v>3756</v>
      </c>
    </row>
    <row r="1481" spans="1:11" x14ac:dyDescent="0.2">
      <c r="A1481">
        <v>1.06317456967803E-15</v>
      </c>
      <c r="B1481">
        <v>0.52055039161815198</v>
      </c>
      <c r="C1481">
        <v>0.45</v>
      </c>
      <c r="D1481">
        <v>0.10299999999999999</v>
      </c>
      <c r="E1481">
        <v>1.64611318623249E-11</v>
      </c>
      <c r="F1481">
        <v>2</v>
      </c>
      <c r="G1481" t="s">
        <v>3757</v>
      </c>
      <c r="H1481" t="s">
        <v>3758</v>
      </c>
      <c r="I1481" t="s">
        <v>3757</v>
      </c>
      <c r="J1481" s="1" t="str">
        <f>HYPERLINK("https://zfin.org/ZDB-GENE-030131-5056")</f>
        <v>https://zfin.org/ZDB-GENE-030131-5056</v>
      </c>
      <c r="K1481" t="s">
        <v>3759</v>
      </c>
    </row>
    <row r="1482" spans="1:11" x14ac:dyDescent="0.2">
      <c r="A1482">
        <v>1.1033556142333801E-15</v>
      </c>
      <c r="B1482">
        <v>-1.5808661078941799</v>
      </c>
      <c r="C1482">
        <v>0.16700000000000001</v>
      </c>
      <c r="D1482">
        <v>0.66100000000000003</v>
      </c>
      <c r="E1482">
        <v>1.7083254975175501E-11</v>
      </c>
      <c r="F1482">
        <v>2</v>
      </c>
      <c r="G1482" t="s">
        <v>2401</v>
      </c>
      <c r="H1482" t="s">
        <v>2402</v>
      </c>
      <c r="I1482" t="s">
        <v>2401</v>
      </c>
      <c r="J1482" s="1" t="str">
        <f>HYPERLINK("https://zfin.org/ZDB-GENE-071205-8")</f>
        <v>https://zfin.org/ZDB-GENE-071205-8</v>
      </c>
      <c r="K1482" t="s">
        <v>2403</v>
      </c>
    </row>
    <row r="1483" spans="1:11" x14ac:dyDescent="0.2">
      <c r="A1483">
        <v>1.11481885250847E-15</v>
      </c>
      <c r="B1483">
        <v>-1.8229092180770801</v>
      </c>
      <c r="C1483">
        <v>0.48299999999999998</v>
      </c>
      <c r="D1483">
        <v>0.77300000000000002</v>
      </c>
      <c r="E1483">
        <v>1.7260740293388599E-11</v>
      </c>
      <c r="F1483">
        <v>2</v>
      </c>
      <c r="G1483" t="s">
        <v>2018</v>
      </c>
      <c r="H1483" t="s">
        <v>2019</v>
      </c>
      <c r="I1483" t="s">
        <v>2018</v>
      </c>
      <c r="J1483" s="1" t="str">
        <f>HYPERLINK("https://zfin.org/ZDB-GENE-101011-2")</f>
        <v>https://zfin.org/ZDB-GENE-101011-2</v>
      </c>
      <c r="K1483" t="s">
        <v>2020</v>
      </c>
    </row>
    <row r="1484" spans="1:11" x14ac:dyDescent="0.2">
      <c r="A1484">
        <v>1.20286882312315E-15</v>
      </c>
      <c r="B1484">
        <v>0.75371244257071601</v>
      </c>
      <c r="C1484">
        <v>0.56699999999999995</v>
      </c>
      <c r="D1484">
        <v>0.16900000000000001</v>
      </c>
      <c r="E1484">
        <v>1.86240179884157E-11</v>
      </c>
      <c r="F1484">
        <v>2</v>
      </c>
      <c r="G1484" t="s">
        <v>1018</v>
      </c>
      <c r="H1484" t="s">
        <v>1019</v>
      </c>
      <c r="I1484" t="s">
        <v>1018</v>
      </c>
      <c r="J1484" s="1" t="str">
        <f>HYPERLINK("https://zfin.org/ZDB-GENE-050417-175")</f>
        <v>https://zfin.org/ZDB-GENE-050417-175</v>
      </c>
      <c r="K1484" t="s">
        <v>1020</v>
      </c>
    </row>
    <row r="1485" spans="1:11" x14ac:dyDescent="0.2">
      <c r="A1485">
        <v>1.25365860980645E-15</v>
      </c>
      <c r="B1485">
        <v>-1.09495770804132</v>
      </c>
      <c r="C1485">
        <v>0.73299999999999998</v>
      </c>
      <c r="D1485">
        <v>0.93100000000000005</v>
      </c>
      <c r="E1485">
        <v>1.9410396255633299E-11</v>
      </c>
      <c r="F1485">
        <v>2</v>
      </c>
      <c r="G1485" t="s">
        <v>1534</v>
      </c>
      <c r="H1485" t="s">
        <v>1535</v>
      </c>
      <c r="I1485" t="s">
        <v>1534</v>
      </c>
      <c r="J1485" s="1" t="str">
        <f>HYPERLINK("https://zfin.org/ZDB-GENE-040426-2666")</f>
        <v>https://zfin.org/ZDB-GENE-040426-2666</v>
      </c>
      <c r="K1485" t="s">
        <v>1536</v>
      </c>
    </row>
    <row r="1486" spans="1:11" x14ac:dyDescent="0.2">
      <c r="A1486">
        <v>1.2594049994979699E-15</v>
      </c>
      <c r="B1486">
        <v>-1.0821865693247099</v>
      </c>
      <c r="C1486">
        <v>0.6</v>
      </c>
      <c r="D1486">
        <v>0.877</v>
      </c>
      <c r="E1486">
        <v>1.94993676072271E-11</v>
      </c>
      <c r="F1486">
        <v>2</v>
      </c>
      <c r="G1486" t="s">
        <v>1483</v>
      </c>
      <c r="H1486" t="s">
        <v>1484</v>
      </c>
      <c r="I1486" t="s">
        <v>1483</v>
      </c>
      <c r="J1486" s="1" t="str">
        <f>HYPERLINK("https://zfin.org/ZDB-GENE-010726-1")</f>
        <v>https://zfin.org/ZDB-GENE-010726-1</v>
      </c>
      <c r="K1486" t="s">
        <v>1485</v>
      </c>
    </row>
    <row r="1487" spans="1:11" x14ac:dyDescent="0.2">
      <c r="A1487">
        <v>1.34211759674551E-15</v>
      </c>
      <c r="B1487">
        <v>0.42239568423212598</v>
      </c>
      <c r="C1487">
        <v>0.41699999999999998</v>
      </c>
      <c r="D1487">
        <v>8.7999999999999995E-2</v>
      </c>
      <c r="E1487">
        <v>2.0780006750410699E-11</v>
      </c>
      <c r="F1487">
        <v>2</v>
      </c>
      <c r="G1487" t="s">
        <v>3760</v>
      </c>
      <c r="H1487" t="s">
        <v>3761</v>
      </c>
      <c r="I1487" t="s">
        <v>3760</v>
      </c>
      <c r="J1487" s="1" t="str">
        <f>HYPERLINK("https://zfin.org/ZDB-GENE-030131-4362")</f>
        <v>https://zfin.org/ZDB-GENE-030131-4362</v>
      </c>
      <c r="K1487" t="s">
        <v>3762</v>
      </c>
    </row>
    <row r="1488" spans="1:11" x14ac:dyDescent="0.2">
      <c r="A1488">
        <v>1.3475824585217201E-15</v>
      </c>
      <c r="B1488">
        <v>0.82916813002380896</v>
      </c>
      <c r="C1488">
        <v>0.71699999999999997</v>
      </c>
      <c r="D1488">
        <v>0.28699999999999998</v>
      </c>
      <c r="E1488">
        <v>2.0864619205291801E-11</v>
      </c>
      <c r="F1488">
        <v>2</v>
      </c>
      <c r="G1488" t="s">
        <v>3763</v>
      </c>
      <c r="H1488" t="s">
        <v>3764</v>
      </c>
      <c r="I1488" t="s">
        <v>3763</v>
      </c>
      <c r="J1488" s="1" t="str">
        <f>HYPERLINK("https://zfin.org/ZDB-GENE-030131-304")</f>
        <v>https://zfin.org/ZDB-GENE-030131-304</v>
      </c>
      <c r="K1488" t="s">
        <v>3765</v>
      </c>
    </row>
    <row r="1489" spans="1:11" x14ac:dyDescent="0.2">
      <c r="A1489">
        <v>1.35059539335613E-15</v>
      </c>
      <c r="B1489">
        <v>0.74133240266726297</v>
      </c>
      <c r="C1489">
        <v>0.93300000000000005</v>
      </c>
      <c r="D1489">
        <v>0.54100000000000004</v>
      </c>
      <c r="E1489">
        <v>2.09112684753329E-11</v>
      </c>
      <c r="F1489">
        <v>2</v>
      </c>
      <c r="G1489" t="s">
        <v>1799</v>
      </c>
      <c r="H1489" t="s">
        <v>1800</v>
      </c>
      <c r="I1489" t="s">
        <v>1799</v>
      </c>
      <c r="J1489" s="1" t="str">
        <f>HYPERLINK("https://zfin.org/ZDB-GENE-040724-95")</f>
        <v>https://zfin.org/ZDB-GENE-040724-95</v>
      </c>
      <c r="K1489" t="s">
        <v>1801</v>
      </c>
    </row>
    <row r="1490" spans="1:11" x14ac:dyDescent="0.2">
      <c r="A1490">
        <v>1.5177909988288099E-15</v>
      </c>
      <c r="B1490">
        <v>0.41414434712690501</v>
      </c>
      <c r="C1490">
        <v>0.23300000000000001</v>
      </c>
      <c r="D1490">
        <v>3.1E-2</v>
      </c>
      <c r="E1490">
        <v>2.3499958034866501E-11</v>
      </c>
      <c r="F1490">
        <v>2</v>
      </c>
      <c r="G1490" t="s">
        <v>609</v>
      </c>
      <c r="H1490" t="s">
        <v>610</v>
      </c>
      <c r="I1490" t="s">
        <v>609</v>
      </c>
      <c r="J1490" s="1" t="str">
        <f>HYPERLINK("https://zfin.org/ZDB-GENE-081104-375")</f>
        <v>https://zfin.org/ZDB-GENE-081104-375</v>
      </c>
      <c r="K1490" t="s">
        <v>611</v>
      </c>
    </row>
    <row r="1491" spans="1:11" x14ac:dyDescent="0.2">
      <c r="A1491">
        <v>1.7480402549519401E-15</v>
      </c>
      <c r="B1491">
        <v>0.83168562428617898</v>
      </c>
      <c r="C1491">
        <v>0.75</v>
      </c>
      <c r="D1491">
        <v>0.29399999999999998</v>
      </c>
      <c r="E1491">
        <v>2.7064907267420901E-11</v>
      </c>
      <c r="F1491">
        <v>2</v>
      </c>
      <c r="G1491" t="s">
        <v>3766</v>
      </c>
      <c r="H1491" t="s">
        <v>3767</v>
      </c>
      <c r="I1491" t="s">
        <v>3766</v>
      </c>
      <c r="J1491" s="1" t="str">
        <f>HYPERLINK("https://zfin.org/ZDB-GENE-040625-50")</f>
        <v>https://zfin.org/ZDB-GENE-040625-50</v>
      </c>
      <c r="K1491" t="s">
        <v>3768</v>
      </c>
    </row>
    <row r="1492" spans="1:11" x14ac:dyDescent="0.2">
      <c r="A1492">
        <v>1.84745854667613E-15</v>
      </c>
      <c r="B1492">
        <v>-0.78171680363909002</v>
      </c>
      <c r="C1492">
        <v>0.88300000000000001</v>
      </c>
      <c r="D1492">
        <v>0.97299999999999998</v>
      </c>
      <c r="E1492">
        <v>2.8604200678186499E-11</v>
      </c>
      <c r="F1492">
        <v>2</v>
      </c>
      <c r="G1492" t="s">
        <v>2618</v>
      </c>
      <c r="H1492" t="s">
        <v>2619</v>
      </c>
      <c r="I1492" t="s">
        <v>2618</v>
      </c>
      <c r="J1492" s="1" t="str">
        <f>HYPERLINK("https://zfin.org/ZDB-GENE-030131-5475")</f>
        <v>https://zfin.org/ZDB-GENE-030131-5475</v>
      </c>
      <c r="K1492" t="s">
        <v>2620</v>
      </c>
    </row>
    <row r="1493" spans="1:11" x14ac:dyDescent="0.2">
      <c r="A1493">
        <v>1.8640859968462799E-15</v>
      </c>
      <c r="B1493">
        <v>0.26625783545077297</v>
      </c>
      <c r="C1493">
        <v>0.11700000000000001</v>
      </c>
      <c r="D1493">
        <v>7.0000000000000001E-3</v>
      </c>
      <c r="E1493">
        <v>2.88616434891709E-11</v>
      </c>
      <c r="F1493">
        <v>2</v>
      </c>
      <c r="G1493" t="s">
        <v>3769</v>
      </c>
      <c r="H1493" t="s">
        <v>3770</v>
      </c>
      <c r="I1493" t="s">
        <v>3769</v>
      </c>
      <c r="J1493" s="1" t="str">
        <f>HYPERLINK("https://zfin.org/ZDB-GENE-030131-1677")</f>
        <v>https://zfin.org/ZDB-GENE-030131-1677</v>
      </c>
      <c r="K1493" t="s">
        <v>3771</v>
      </c>
    </row>
    <row r="1494" spans="1:11" x14ac:dyDescent="0.2">
      <c r="A1494">
        <v>1.93436522749266E-15</v>
      </c>
      <c r="B1494">
        <v>0.63365348823051604</v>
      </c>
      <c r="C1494">
        <v>0.65</v>
      </c>
      <c r="D1494">
        <v>0.20399999999999999</v>
      </c>
      <c r="E1494">
        <v>2.9949776817268899E-11</v>
      </c>
      <c r="F1494">
        <v>2</v>
      </c>
      <c r="G1494" t="s">
        <v>1012</v>
      </c>
      <c r="H1494" t="s">
        <v>1013</v>
      </c>
      <c r="I1494" t="s">
        <v>1012</v>
      </c>
      <c r="J1494" s="1" t="str">
        <f>HYPERLINK("https://zfin.org/ZDB-GENE-030219-147")</f>
        <v>https://zfin.org/ZDB-GENE-030219-147</v>
      </c>
      <c r="K1494" t="s">
        <v>1014</v>
      </c>
    </row>
    <row r="1495" spans="1:11" x14ac:dyDescent="0.2">
      <c r="A1495">
        <v>1.99906477528765E-15</v>
      </c>
      <c r="B1495">
        <v>0.74029842232903498</v>
      </c>
      <c r="C1495">
        <v>0.65</v>
      </c>
      <c r="D1495">
        <v>0.214</v>
      </c>
      <c r="E1495">
        <v>3.0951519915778699E-11</v>
      </c>
      <c r="F1495">
        <v>2</v>
      </c>
      <c r="G1495" t="s">
        <v>3772</v>
      </c>
      <c r="H1495" t="s">
        <v>3773</v>
      </c>
      <c r="I1495" t="s">
        <v>3772</v>
      </c>
      <c r="J1495" s="1" t="str">
        <f>HYPERLINK("https://zfin.org/ZDB-GENE-040718-181")</f>
        <v>https://zfin.org/ZDB-GENE-040718-181</v>
      </c>
      <c r="K1495" t="s">
        <v>3774</v>
      </c>
    </row>
    <row r="1496" spans="1:11" x14ac:dyDescent="0.2">
      <c r="A1496">
        <v>2.20826706685314E-15</v>
      </c>
      <c r="B1496">
        <v>0.51131010783235098</v>
      </c>
      <c r="C1496">
        <v>0.41699999999999998</v>
      </c>
      <c r="D1496">
        <v>0.09</v>
      </c>
      <c r="E1496">
        <v>3.4190598996087097E-11</v>
      </c>
      <c r="F1496">
        <v>2</v>
      </c>
      <c r="G1496" t="s">
        <v>70</v>
      </c>
      <c r="H1496" t="s">
        <v>71</v>
      </c>
      <c r="I1496" t="s">
        <v>70</v>
      </c>
      <c r="J1496" s="1" t="str">
        <f>HYPERLINK("https://zfin.org/ZDB-GENE-040426-1903")</f>
        <v>https://zfin.org/ZDB-GENE-040426-1903</v>
      </c>
      <c r="K1496" t="s">
        <v>72</v>
      </c>
    </row>
    <row r="1497" spans="1:11" x14ac:dyDescent="0.2">
      <c r="A1497">
        <v>2.4534130034581702E-15</v>
      </c>
      <c r="B1497">
        <v>0.36305704576123898</v>
      </c>
      <c r="C1497">
        <v>0.183</v>
      </c>
      <c r="D1497">
        <v>1.9E-2</v>
      </c>
      <c r="E1497">
        <v>3.7986193532542797E-11</v>
      </c>
      <c r="F1497">
        <v>2</v>
      </c>
      <c r="G1497" t="s">
        <v>3775</v>
      </c>
      <c r="H1497" t="s">
        <v>3776</v>
      </c>
      <c r="I1497" t="s">
        <v>3775</v>
      </c>
      <c r="J1497" s="1" t="str">
        <f>HYPERLINK("https://zfin.org/ZDB-GENE-060531-72")</f>
        <v>https://zfin.org/ZDB-GENE-060531-72</v>
      </c>
      <c r="K1497" t="s">
        <v>3777</v>
      </c>
    </row>
    <row r="1498" spans="1:11" x14ac:dyDescent="0.2">
      <c r="A1498">
        <v>2.5475480026653E-15</v>
      </c>
      <c r="B1498">
        <v>0.75935574712821496</v>
      </c>
      <c r="C1498">
        <v>0.5</v>
      </c>
      <c r="D1498">
        <v>0.13100000000000001</v>
      </c>
      <c r="E1498">
        <v>3.9443685725266897E-11</v>
      </c>
      <c r="F1498">
        <v>2</v>
      </c>
      <c r="G1498" t="s">
        <v>531</v>
      </c>
      <c r="H1498" t="s">
        <v>532</v>
      </c>
      <c r="I1498" t="s">
        <v>531</v>
      </c>
      <c r="J1498" s="1" t="str">
        <f>HYPERLINK("https://zfin.org/ZDB-GENE-131126-80")</f>
        <v>https://zfin.org/ZDB-GENE-131126-80</v>
      </c>
      <c r="K1498" t="s">
        <v>533</v>
      </c>
    </row>
    <row r="1499" spans="1:11" x14ac:dyDescent="0.2">
      <c r="A1499">
        <v>2.8355706076284099E-15</v>
      </c>
      <c r="B1499">
        <v>0.45604655579264802</v>
      </c>
      <c r="C1499">
        <v>0.36699999999999999</v>
      </c>
      <c r="D1499">
        <v>7.2999999999999995E-2</v>
      </c>
      <c r="E1499">
        <v>4.3903139717910701E-11</v>
      </c>
      <c r="F1499">
        <v>2</v>
      </c>
      <c r="G1499" t="s">
        <v>115</v>
      </c>
      <c r="H1499" t="s">
        <v>116</v>
      </c>
      <c r="I1499" t="s">
        <v>115</v>
      </c>
      <c r="J1499" s="1" t="str">
        <f>HYPERLINK("https://zfin.org/ZDB-GENE-050417-327")</f>
        <v>https://zfin.org/ZDB-GENE-050417-327</v>
      </c>
      <c r="K1499" t="s">
        <v>117</v>
      </c>
    </row>
    <row r="1500" spans="1:11" x14ac:dyDescent="0.2">
      <c r="A1500">
        <v>2.83786593766456E-15</v>
      </c>
      <c r="B1500">
        <v>0.67343181559086296</v>
      </c>
      <c r="C1500">
        <v>0.56699999999999995</v>
      </c>
      <c r="D1500">
        <v>0.17</v>
      </c>
      <c r="E1500">
        <v>4.3938678312860398E-11</v>
      </c>
      <c r="F1500">
        <v>2</v>
      </c>
      <c r="G1500" t="s">
        <v>3778</v>
      </c>
      <c r="H1500" t="s">
        <v>3779</v>
      </c>
      <c r="I1500" t="s">
        <v>3778</v>
      </c>
      <c r="J1500" s="1" t="str">
        <f>HYPERLINK("https://zfin.org/ZDB-GENE-030131-8730")</f>
        <v>https://zfin.org/ZDB-GENE-030131-8730</v>
      </c>
      <c r="K1500" t="s">
        <v>3780</v>
      </c>
    </row>
    <row r="1501" spans="1:11" x14ac:dyDescent="0.2">
      <c r="A1501">
        <v>2.9088281697971999E-15</v>
      </c>
      <c r="B1501">
        <v>0.47594048156309998</v>
      </c>
      <c r="C1501">
        <v>0.23300000000000001</v>
      </c>
      <c r="D1501">
        <v>3.2000000000000001E-2</v>
      </c>
      <c r="E1501">
        <v>4.5037386552969997E-11</v>
      </c>
      <c r="F1501">
        <v>2</v>
      </c>
      <c r="G1501" t="s">
        <v>546</v>
      </c>
      <c r="H1501" t="s">
        <v>547</v>
      </c>
      <c r="I1501" t="s">
        <v>546</v>
      </c>
      <c r="J1501" s="1" t="str">
        <f>HYPERLINK("https://zfin.org/")</f>
        <v>https://zfin.org/</v>
      </c>
      <c r="K1501" t="s">
        <v>548</v>
      </c>
    </row>
    <row r="1502" spans="1:11" x14ac:dyDescent="0.2">
      <c r="A1502">
        <v>3.1955856209839201E-15</v>
      </c>
      <c r="B1502">
        <v>0.35094536703310802</v>
      </c>
      <c r="C1502">
        <v>0.217</v>
      </c>
      <c r="D1502">
        <v>2.7E-2</v>
      </c>
      <c r="E1502">
        <v>4.9477252169693999E-11</v>
      </c>
      <c r="F1502">
        <v>2</v>
      </c>
      <c r="G1502" t="s">
        <v>1003</v>
      </c>
      <c r="H1502" t="s">
        <v>1004</v>
      </c>
      <c r="I1502" t="s">
        <v>1003</v>
      </c>
      <c r="J1502" s="1" t="str">
        <f>HYPERLINK("https://zfin.org/ZDB-GENE-061013-512")</f>
        <v>https://zfin.org/ZDB-GENE-061013-512</v>
      </c>
      <c r="K1502" t="s">
        <v>1005</v>
      </c>
    </row>
    <row r="1503" spans="1:11" x14ac:dyDescent="0.2">
      <c r="A1503">
        <v>3.4073447013198201E-15</v>
      </c>
      <c r="B1503">
        <v>0.50219077541254598</v>
      </c>
      <c r="C1503">
        <v>0.317</v>
      </c>
      <c r="D1503">
        <v>5.7000000000000002E-2</v>
      </c>
      <c r="E1503">
        <v>5.2755918010534801E-11</v>
      </c>
      <c r="F1503">
        <v>2</v>
      </c>
      <c r="G1503" t="s">
        <v>225</v>
      </c>
      <c r="H1503" t="s">
        <v>226</v>
      </c>
      <c r="I1503" t="s">
        <v>225</v>
      </c>
      <c r="J1503" s="1" t="str">
        <f>HYPERLINK("https://zfin.org/ZDB-GENE-050522-121")</f>
        <v>https://zfin.org/ZDB-GENE-050522-121</v>
      </c>
      <c r="K1503" t="s">
        <v>227</v>
      </c>
    </row>
    <row r="1504" spans="1:11" x14ac:dyDescent="0.2">
      <c r="A1504">
        <v>3.51577350425335E-15</v>
      </c>
      <c r="B1504">
        <v>0.91032996542330502</v>
      </c>
      <c r="C1504">
        <v>0.83299999999999996</v>
      </c>
      <c r="D1504">
        <v>0.44800000000000001</v>
      </c>
      <c r="E1504">
        <v>5.4434721166354601E-11</v>
      </c>
      <c r="F1504">
        <v>2</v>
      </c>
      <c r="G1504" t="s">
        <v>3781</v>
      </c>
      <c r="H1504" t="s">
        <v>3782</v>
      </c>
      <c r="I1504" t="s">
        <v>3781</v>
      </c>
      <c r="J1504" s="1" t="str">
        <f>HYPERLINK("https://zfin.org/ZDB-GENE-990415-216")</f>
        <v>https://zfin.org/ZDB-GENE-990415-216</v>
      </c>
      <c r="K1504" t="s">
        <v>3783</v>
      </c>
    </row>
    <row r="1505" spans="1:11" x14ac:dyDescent="0.2">
      <c r="A1505">
        <v>3.6858415912649902E-15</v>
      </c>
      <c r="B1505">
        <v>0.31236136330719</v>
      </c>
      <c r="C1505">
        <v>0.217</v>
      </c>
      <c r="D1505">
        <v>2.7E-2</v>
      </c>
      <c r="E1505">
        <v>5.7067885357555803E-11</v>
      </c>
      <c r="F1505">
        <v>2</v>
      </c>
      <c r="G1505" t="s">
        <v>3784</v>
      </c>
      <c r="H1505" t="s">
        <v>3785</v>
      </c>
      <c r="I1505" t="s">
        <v>3784</v>
      </c>
      <c r="J1505" s="1" t="str">
        <f>HYPERLINK("https://zfin.org/ZDB-GENE-030521-42")</f>
        <v>https://zfin.org/ZDB-GENE-030521-42</v>
      </c>
      <c r="K1505" t="s">
        <v>3786</v>
      </c>
    </row>
    <row r="1506" spans="1:11" x14ac:dyDescent="0.2">
      <c r="A1506">
        <v>3.76627710416039E-15</v>
      </c>
      <c r="B1506">
        <v>0.51952976616703594</v>
      </c>
      <c r="C1506">
        <v>0.41699999999999998</v>
      </c>
      <c r="D1506">
        <v>9.6000000000000002E-2</v>
      </c>
      <c r="E1506">
        <v>5.8313268403715298E-11</v>
      </c>
      <c r="F1506">
        <v>2</v>
      </c>
      <c r="G1506" t="s">
        <v>2564</v>
      </c>
      <c r="H1506" t="s">
        <v>2565</v>
      </c>
      <c r="I1506" t="s">
        <v>2564</v>
      </c>
      <c r="J1506" s="1" t="str">
        <f>HYPERLINK("https://zfin.org/ZDB-GENE-060929-180")</f>
        <v>https://zfin.org/ZDB-GENE-060929-180</v>
      </c>
      <c r="K1506" t="s">
        <v>2566</v>
      </c>
    </row>
    <row r="1507" spans="1:11" x14ac:dyDescent="0.2">
      <c r="A1507">
        <v>4.9621182872149697E-15</v>
      </c>
      <c r="B1507">
        <v>0.52745172726905898</v>
      </c>
      <c r="C1507">
        <v>0.3</v>
      </c>
      <c r="D1507">
        <v>5.2999999999999999E-2</v>
      </c>
      <c r="E1507">
        <v>7.6828477440949396E-11</v>
      </c>
      <c r="F1507">
        <v>2</v>
      </c>
      <c r="G1507" t="s">
        <v>734</v>
      </c>
      <c r="H1507" t="s">
        <v>735</v>
      </c>
      <c r="I1507" t="s">
        <v>734</v>
      </c>
      <c r="J1507" s="1" t="str">
        <f>HYPERLINK("https://zfin.org/")</f>
        <v>https://zfin.org/</v>
      </c>
      <c r="K1507" t="s">
        <v>736</v>
      </c>
    </row>
    <row r="1508" spans="1:11" x14ac:dyDescent="0.2">
      <c r="A1508">
        <v>5.4943241108112099E-15</v>
      </c>
      <c r="B1508">
        <v>0.903753848240477</v>
      </c>
      <c r="C1508">
        <v>0.78300000000000003</v>
      </c>
      <c r="D1508">
        <v>0.38300000000000001</v>
      </c>
      <c r="E1508">
        <v>8.5068620207689906E-11</v>
      </c>
      <c r="F1508">
        <v>2</v>
      </c>
      <c r="G1508" t="s">
        <v>2156</v>
      </c>
      <c r="H1508" t="s">
        <v>2157</v>
      </c>
      <c r="I1508" t="s">
        <v>2156</v>
      </c>
      <c r="J1508" s="1" t="str">
        <f>HYPERLINK("https://zfin.org/ZDB-GENE-050522-279")</f>
        <v>https://zfin.org/ZDB-GENE-050522-279</v>
      </c>
      <c r="K1508" t="s">
        <v>2158</v>
      </c>
    </row>
    <row r="1509" spans="1:11" x14ac:dyDescent="0.2">
      <c r="A1509">
        <v>6.2344051268273998E-15</v>
      </c>
      <c r="B1509">
        <v>0.57701002600117202</v>
      </c>
      <c r="C1509">
        <v>0.433</v>
      </c>
      <c r="D1509">
        <v>0.104</v>
      </c>
      <c r="E1509">
        <v>9.6527294578668702E-11</v>
      </c>
      <c r="F1509">
        <v>2</v>
      </c>
      <c r="G1509" t="s">
        <v>699</v>
      </c>
      <c r="H1509" t="s">
        <v>700</v>
      </c>
      <c r="I1509" t="s">
        <v>699</v>
      </c>
      <c r="J1509" s="1" t="str">
        <f>HYPERLINK("https://zfin.org/ZDB-GENE-110411-40")</f>
        <v>https://zfin.org/ZDB-GENE-110411-40</v>
      </c>
      <c r="K1509" t="s">
        <v>701</v>
      </c>
    </row>
    <row r="1510" spans="1:11" x14ac:dyDescent="0.2">
      <c r="A1510">
        <v>8.2659129264537402E-15</v>
      </c>
      <c r="B1510">
        <v>0.49260167066689498</v>
      </c>
      <c r="C1510">
        <v>0.48299999999999998</v>
      </c>
      <c r="D1510">
        <v>0.11899999999999999</v>
      </c>
      <c r="E1510">
        <v>1.27981129840283E-10</v>
      </c>
      <c r="F1510">
        <v>2</v>
      </c>
      <c r="G1510" t="s">
        <v>3787</v>
      </c>
      <c r="H1510" t="s">
        <v>3788</v>
      </c>
      <c r="I1510" t="s">
        <v>3787</v>
      </c>
      <c r="J1510" s="1" t="str">
        <f>HYPERLINK("https://zfin.org/ZDB-GENE-040801-226")</f>
        <v>https://zfin.org/ZDB-GENE-040801-226</v>
      </c>
      <c r="K1510" t="s">
        <v>3789</v>
      </c>
    </row>
    <row r="1511" spans="1:11" x14ac:dyDescent="0.2">
      <c r="A1511">
        <v>8.4795762228293706E-15</v>
      </c>
      <c r="B1511">
        <v>-0.82466707003956996</v>
      </c>
      <c r="C1511">
        <v>0.83299999999999996</v>
      </c>
      <c r="D1511">
        <v>0.92800000000000005</v>
      </c>
      <c r="E1511">
        <v>1.31289278658067E-10</v>
      </c>
      <c r="F1511">
        <v>2</v>
      </c>
      <c r="G1511" t="s">
        <v>1982</v>
      </c>
      <c r="H1511" t="s">
        <v>1983</v>
      </c>
      <c r="I1511" t="s">
        <v>1982</v>
      </c>
      <c r="J1511" s="1" t="str">
        <f>HYPERLINK("https://zfin.org/ZDB-GENE-040718-203")</f>
        <v>https://zfin.org/ZDB-GENE-040718-203</v>
      </c>
      <c r="K1511" t="s">
        <v>1984</v>
      </c>
    </row>
    <row r="1512" spans="1:11" x14ac:dyDescent="0.2">
      <c r="A1512">
        <v>8.6724684407463805E-15</v>
      </c>
      <c r="B1512">
        <v>0.48731420673307302</v>
      </c>
      <c r="C1512">
        <v>0.48299999999999998</v>
      </c>
      <c r="D1512">
        <v>0.11899999999999999</v>
      </c>
      <c r="E1512">
        <v>1.34275828868076E-10</v>
      </c>
      <c r="F1512">
        <v>2</v>
      </c>
      <c r="G1512" t="s">
        <v>428</v>
      </c>
      <c r="H1512" t="s">
        <v>429</v>
      </c>
      <c r="I1512" t="s">
        <v>428</v>
      </c>
      <c r="J1512" s="1" t="str">
        <f>HYPERLINK("https://zfin.org/ZDB-GENE-060608-2")</f>
        <v>https://zfin.org/ZDB-GENE-060608-2</v>
      </c>
      <c r="K1512" t="s">
        <v>430</v>
      </c>
    </row>
    <row r="1513" spans="1:11" x14ac:dyDescent="0.2">
      <c r="A1513">
        <v>8.7694266694081705E-15</v>
      </c>
      <c r="B1513">
        <v>-1.89672941921737</v>
      </c>
      <c r="C1513">
        <v>0.63300000000000001</v>
      </c>
      <c r="D1513">
        <v>0.82799999999999996</v>
      </c>
      <c r="E1513">
        <v>1.3577703312244701E-10</v>
      </c>
      <c r="F1513">
        <v>2</v>
      </c>
      <c r="G1513" t="s">
        <v>2727</v>
      </c>
      <c r="H1513" t="s">
        <v>2728</v>
      </c>
      <c r="I1513" t="s">
        <v>2727</v>
      </c>
      <c r="J1513" s="1" t="str">
        <f>HYPERLINK("https://zfin.org/")</f>
        <v>https://zfin.org/</v>
      </c>
      <c r="K1513" t="s">
        <v>2729</v>
      </c>
    </row>
    <row r="1514" spans="1:11" x14ac:dyDescent="0.2">
      <c r="A1514">
        <v>9.2311898211871702E-15</v>
      </c>
      <c r="B1514">
        <v>0.65582172958185103</v>
      </c>
      <c r="C1514">
        <v>0.38300000000000001</v>
      </c>
      <c r="D1514">
        <v>8.4000000000000005E-2</v>
      </c>
      <c r="E1514">
        <v>1.4292651200144099E-10</v>
      </c>
      <c r="F1514">
        <v>2</v>
      </c>
      <c r="G1514" t="s">
        <v>328</v>
      </c>
      <c r="H1514" t="s">
        <v>329</v>
      </c>
      <c r="I1514" t="s">
        <v>328</v>
      </c>
      <c r="J1514" s="1" t="str">
        <f>HYPERLINK("https://zfin.org/ZDB-GENE-120709-101")</f>
        <v>https://zfin.org/ZDB-GENE-120709-101</v>
      </c>
      <c r="K1514" t="s">
        <v>330</v>
      </c>
    </row>
    <row r="1515" spans="1:11" x14ac:dyDescent="0.2">
      <c r="A1515">
        <v>1.4308840574822401E-14</v>
      </c>
      <c r="B1515">
        <v>-1.39109057244089</v>
      </c>
      <c r="C1515">
        <v>0.2</v>
      </c>
      <c r="D1515">
        <v>0.68500000000000005</v>
      </c>
      <c r="E1515">
        <v>2.2154377861997599E-10</v>
      </c>
      <c r="F1515">
        <v>2</v>
      </c>
      <c r="G1515" t="s">
        <v>2386</v>
      </c>
      <c r="H1515" t="s">
        <v>2387</v>
      </c>
      <c r="I1515" t="s">
        <v>2386</v>
      </c>
      <c r="J1515" s="1" t="str">
        <f>HYPERLINK("https://zfin.org/ZDB-GENE-030131-2524")</f>
        <v>https://zfin.org/ZDB-GENE-030131-2524</v>
      </c>
      <c r="K1515" t="s">
        <v>2388</v>
      </c>
    </row>
    <row r="1516" spans="1:11" x14ac:dyDescent="0.2">
      <c r="A1516">
        <v>1.59711379936508E-14</v>
      </c>
      <c r="B1516">
        <v>0.72042613283902102</v>
      </c>
      <c r="C1516">
        <v>0.68300000000000005</v>
      </c>
      <c r="D1516">
        <v>0.25700000000000001</v>
      </c>
      <c r="E1516">
        <v>2.4728112955569598E-10</v>
      </c>
      <c r="F1516">
        <v>2</v>
      </c>
      <c r="G1516" t="s">
        <v>3790</v>
      </c>
      <c r="H1516" t="s">
        <v>3791</v>
      </c>
      <c r="I1516" t="s">
        <v>3790</v>
      </c>
      <c r="J1516" s="1" t="str">
        <f>HYPERLINK("https://zfin.org/ZDB-GENE-030131-8279")</f>
        <v>https://zfin.org/ZDB-GENE-030131-8279</v>
      </c>
      <c r="K1516" t="s">
        <v>3792</v>
      </c>
    </row>
    <row r="1517" spans="1:11" x14ac:dyDescent="0.2">
      <c r="A1517">
        <v>1.71473023843399E-14</v>
      </c>
      <c r="B1517">
        <v>0.52382465216005802</v>
      </c>
      <c r="C1517">
        <v>0.35</v>
      </c>
      <c r="D1517">
        <v>6.9000000000000006E-2</v>
      </c>
      <c r="E1517">
        <v>2.65491682816734E-10</v>
      </c>
      <c r="F1517">
        <v>2</v>
      </c>
      <c r="G1517" t="s">
        <v>3793</v>
      </c>
      <c r="H1517" t="s">
        <v>3794</v>
      </c>
      <c r="I1517" t="s">
        <v>3793</v>
      </c>
      <c r="J1517" s="1" t="str">
        <f>HYPERLINK("https://zfin.org/ZDB-GENE-040426-1882")</f>
        <v>https://zfin.org/ZDB-GENE-040426-1882</v>
      </c>
      <c r="K1517" t="s">
        <v>3795</v>
      </c>
    </row>
    <row r="1518" spans="1:11" x14ac:dyDescent="0.2">
      <c r="A1518">
        <v>1.8003785300881299E-14</v>
      </c>
      <c r="B1518">
        <v>0.46513263258749898</v>
      </c>
      <c r="C1518">
        <v>0.38300000000000001</v>
      </c>
      <c r="D1518">
        <v>8.4000000000000005E-2</v>
      </c>
      <c r="E1518">
        <v>2.7875260781354501E-10</v>
      </c>
      <c r="F1518">
        <v>2</v>
      </c>
      <c r="G1518" t="s">
        <v>3796</v>
      </c>
      <c r="H1518" t="s">
        <v>3797</v>
      </c>
      <c r="I1518" t="s">
        <v>3796</v>
      </c>
      <c r="J1518" s="1" t="str">
        <f>HYPERLINK("https://zfin.org/ZDB-GENE-030131-7676")</f>
        <v>https://zfin.org/ZDB-GENE-030131-7676</v>
      </c>
      <c r="K1518" t="s">
        <v>3798</v>
      </c>
    </row>
    <row r="1519" spans="1:11" x14ac:dyDescent="0.2">
      <c r="A1519">
        <v>1.80792150718422E-14</v>
      </c>
      <c r="B1519">
        <v>0.32992934807162999</v>
      </c>
      <c r="C1519">
        <v>0.183</v>
      </c>
      <c r="D1519">
        <v>2.1000000000000001E-2</v>
      </c>
      <c r="E1519">
        <v>2.7992048695733199E-10</v>
      </c>
      <c r="F1519">
        <v>2</v>
      </c>
      <c r="G1519" t="s">
        <v>1125</v>
      </c>
      <c r="H1519" t="s">
        <v>1126</v>
      </c>
      <c r="I1519" t="s">
        <v>1125</v>
      </c>
      <c r="J1519" s="1" t="str">
        <f>HYPERLINK("https://zfin.org/ZDB-GENE-050522-267")</f>
        <v>https://zfin.org/ZDB-GENE-050522-267</v>
      </c>
      <c r="K1519" t="s">
        <v>1127</v>
      </c>
    </row>
    <row r="1520" spans="1:11" x14ac:dyDescent="0.2">
      <c r="A1520">
        <v>1.9753424733441199E-14</v>
      </c>
      <c r="B1520">
        <v>0.54809233419786796</v>
      </c>
      <c r="C1520">
        <v>0.55000000000000004</v>
      </c>
      <c r="D1520">
        <v>0.151</v>
      </c>
      <c r="E1520">
        <v>3.0584227514787001E-10</v>
      </c>
      <c r="F1520">
        <v>2</v>
      </c>
      <c r="G1520" t="s">
        <v>3799</v>
      </c>
      <c r="H1520" t="s">
        <v>3800</v>
      </c>
      <c r="I1520" t="s">
        <v>3799</v>
      </c>
      <c r="J1520" s="1" t="str">
        <f>HYPERLINK("https://zfin.org/ZDB-GENE-010201-1")</f>
        <v>https://zfin.org/ZDB-GENE-010201-1</v>
      </c>
      <c r="K1520" t="s">
        <v>3801</v>
      </c>
    </row>
    <row r="1521" spans="1:11" x14ac:dyDescent="0.2">
      <c r="A1521">
        <v>2.0759666329873201E-14</v>
      </c>
      <c r="B1521">
        <v>0.39562049859086401</v>
      </c>
      <c r="C1521">
        <v>0.16700000000000001</v>
      </c>
      <c r="D1521">
        <v>1.7000000000000001E-2</v>
      </c>
      <c r="E1521">
        <v>3.2142191378542601E-10</v>
      </c>
      <c r="F1521">
        <v>2</v>
      </c>
      <c r="G1521" t="s">
        <v>3802</v>
      </c>
      <c r="H1521" t="s">
        <v>3803</v>
      </c>
      <c r="I1521" t="s">
        <v>3802</v>
      </c>
      <c r="J1521" s="1" t="str">
        <f>HYPERLINK("https://zfin.org/ZDB-GENE-071218-4")</f>
        <v>https://zfin.org/ZDB-GENE-071218-4</v>
      </c>
      <c r="K1521" t="s">
        <v>3804</v>
      </c>
    </row>
    <row r="1522" spans="1:11" x14ac:dyDescent="0.2">
      <c r="A1522">
        <v>2.0863681767238201E-14</v>
      </c>
      <c r="B1522">
        <v>-1.4370163750129099</v>
      </c>
      <c r="C1522">
        <v>0.13300000000000001</v>
      </c>
      <c r="D1522">
        <v>0.63800000000000001</v>
      </c>
      <c r="E1522">
        <v>3.2303238480215002E-10</v>
      </c>
      <c r="F1522">
        <v>2</v>
      </c>
      <c r="G1522" t="s">
        <v>2230</v>
      </c>
      <c r="H1522" t="s">
        <v>2231</v>
      </c>
      <c r="I1522" t="s">
        <v>2230</v>
      </c>
      <c r="J1522" s="1" t="str">
        <f>HYPERLINK("https://zfin.org/ZDB-GENE-050208-317")</f>
        <v>https://zfin.org/ZDB-GENE-050208-317</v>
      </c>
      <c r="K1522" t="s">
        <v>2232</v>
      </c>
    </row>
    <row r="1523" spans="1:11" x14ac:dyDescent="0.2">
      <c r="A1523">
        <v>2.08673072885025E-14</v>
      </c>
      <c r="B1523">
        <v>1.1664090253512001</v>
      </c>
      <c r="C1523">
        <v>0.8</v>
      </c>
      <c r="D1523">
        <v>0.38200000000000001</v>
      </c>
      <c r="E1523">
        <v>3.2308851874788398E-10</v>
      </c>
      <c r="F1523">
        <v>2</v>
      </c>
      <c r="G1523" t="s">
        <v>2957</v>
      </c>
      <c r="H1523" t="s">
        <v>2958</v>
      </c>
      <c r="I1523" t="s">
        <v>2957</v>
      </c>
      <c r="J1523" s="1" t="str">
        <f>HYPERLINK("https://zfin.org/ZDB-GENE-050428-1")</f>
        <v>https://zfin.org/ZDB-GENE-050428-1</v>
      </c>
      <c r="K1523" t="s">
        <v>2959</v>
      </c>
    </row>
    <row r="1524" spans="1:11" x14ac:dyDescent="0.2">
      <c r="A1524">
        <v>2.1350740110145999E-14</v>
      </c>
      <c r="B1524">
        <v>0.32786478602499503</v>
      </c>
      <c r="C1524">
        <v>0.183</v>
      </c>
      <c r="D1524">
        <v>2.1000000000000001E-2</v>
      </c>
      <c r="E1524">
        <v>3.3057350912538999E-10</v>
      </c>
      <c r="F1524">
        <v>2</v>
      </c>
      <c r="G1524" t="s">
        <v>3805</v>
      </c>
      <c r="H1524" t="s">
        <v>3806</v>
      </c>
      <c r="I1524" t="s">
        <v>3805</v>
      </c>
      <c r="J1524" s="1" t="str">
        <f>HYPERLINK("https://zfin.org/ZDB-GENE-070928-9")</f>
        <v>https://zfin.org/ZDB-GENE-070928-9</v>
      </c>
      <c r="K1524" t="s">
        <v>3807</v>
      </c>
    </row>
    <row r="1525" spans="1:11" x14ac:dyDescent="0.2">
      <c r="A1525">
        <v>2.1350740110145999E-14</v>
      </c>
      <c r="B1525">
        <v>0.25928317079769803</v>
      </c>
      <c r="C1525">
        <v>0.183</v>
      </c>
      <c r="D1525">
        <v>2.1000000000000001E-2</v>
      </c>
      <c r="E1525">
        <v>3.3057350912538999E-10</v>
      </c>
      <c r="F1525">
        <v>2</v>
      </c>
      <c r="G1525" t="s">
        <v>1531</v>
      </c>
      <c r="H1525" t="s">
        <v>1532</v>
      </c>
      <c r="I1525" t="s">
        <v>1531</v>
      </c>
      <c r="J1525" s="1" t="str">
        <f>HYPERLINK("https://zfin.org/ZDB-GENE-041010-179")</f>
        <v>https://zfin.org/ZDB-GENE-041010-179</v>
      </c>
      <c r="K1525" t="s">
        <v>1533</v>
      </c>
    </row>
    <row r="1526" spans="1:11" x14ac:dyDescent="0.2">
      <c r="A1526">
        <v>2.3433367632693501E-14</v>
      </c>
      <c r="B1526">
        <v>-1.76249830271312</v>
      </c>
      <c r="C1526">
        <v>0.317</v>
      </c>
      <c r="D1526">
        <v>0.71499999999999997</v>
      </c>
      <c r="E1526">
        <v>3.62818831056993E-10</v>
      </c>
      <c r="F1526">
        <v>2</v>
      </c>
      <c r="G1526" t="s">
        <v>2431</v>
      </c>
      <c r="H1526" t="s">
        <v>2432</v>
      </c>
      <c r="I1526" t="s">
        <v>2431</v>
      </c>
      <c r="J1526" s="1" t="str">
        <f>HYPERLINK("https://zfin.org/ZDB-GENE-990715-6")</f>
        <v>https://zfin.org/ZDB-GENE-990715-6</v>
      </c>
      <c r="K1526" t="s">
        <v>2433</v>
      </c>
    </row>
    <row r="1527" spans="1:11" x14ac:dyDescent="0.2">
      <c r="A1527">
        <v>2.3444636131424799E-14</v>
      </c>
      <c r="B1527">
        <v>-1.35611592088248</v>
      </c>
      <c r="C1527">
        <v>0.23300000000000001</v>
      </c>
      <c r="D1527">
        <v>0.67400000000000004</v>
      </c>
      <c r="E1527">
        <v>3.6299330122285002E-10</v>
      </c>
      <c r="F1527">
        <v>2</v>
      </c>
      <c r="G1527" t="s">
        <v>2374</v>
      </c>
      <c r="H1527" t="s">
        <v>2375</v>
      </c>
      <c r="I1527" t="s">
        <v>2374</v>
      </c>
      <c r="J1527" s="1" t="str">
        <f>HYPERLINK("https://zfin.org/ZDB-GENE-040426-2770")</f>
        <v>https://zfin.org/ZDB-GENE-040426-2770</v>
      </c>
      <c r="K1527" t="s">
        <v>2376</v>
      </c>
    </row>
    <row r="1528" spans="1:11" x14ac:dyDescent="0.2">
      <c r="A1528">
        <v>2.4197405187338701E-14</v>
      </c>
      <c r="B1528">
        <v>0.413847421838827</v>
      </c>
      <c r="C1528">
        <v>0.317</v>
      </c>
      <c r="D1528">
        <v>5.8999999999999997E-2</v>
      </c>
      <c r="E1528">
        <v>3.7464842451556499E-10</v>
      </c>
      <c r="F1528">
        <v>2</v>
      </c>
      <c r="G1528" t="s">
        <v>3808</v>
      </c>
      <c r="H1528" t="s">
        <v>3809</v>
      </c>
      <c r="I1528" t="s">
        <v>3808</v>
      </c>
      <c r="J1528" s="1" t="str">
        <f>HYPERLINK("https://zfin.org/ZDB-GENE-040426-2104")</f>
        <v>https://zfin.org/ZDB-GENE-040426-2104</v>
      </c>
      <c r="K1528" t="s">
        <v>3810</v>
      </c>
    </row>
    <row r="1529" spans="1:11" x14ac:dyDescent="0.2">
      <c r="A1529">
        <v>2.52089760837917E-14</v>
      </c>
      <c r="B1529">
        <v>0.360024429547952</v>
      </c>
      <c r="C1529">
        <v>0.26700000000000002</v>
      </c>
      <c r="D1529">
        <v>4.2000000000000003E-2</v>
      </c>
      <c r="E1529">
        <v>3.9031057670534698E-10</v>
      </c>
      <c r="F1529">
        <v>2</v>
      </c>
      <c r="G1529" t="s">
        <v>513</v>
      </c>
      <c r="H1529" t="s">
        <v>514</v>
      </c>
      <c r="I1529" t="s">
        <v>513</v>
      </c>
      <c r="J1529" s="1" t="str">
        <f>HYPERLINK("https://zfin.org/ZDB-GENE-101216-2")</f>
        <v>https://zfin.org/ZDB-GENE-101216-2</v>
      </c>
      <c r="K1529" t="s">
        <v>515</v>
      </c>
    </row>
    <row r="1530" spans="1:11" x14ac:dyDescent="0.2">
      <c r="A1530">
        <v>2.78313194739182E-14</v>
      </c>
      <c r="B1530">
        <v>0.71279051109218705</v>
      </c>
      <c r="C1530">
        <v>0.91700000000000004</v>
      </c>
      <c r="D1530">
        <v>0.58699999999999997</v>
      </c>
      <c r="E1530">
        <v>4.30912319414676E-10</v>
      </c>
      <c r="F1530">
        <v>2</v>
      </c>
      <c r="G1530" t="s">
        <v>1471</v>
      </c>
      <c r="H1530" t="s">
        <v>1472</v>
      </c>
      <c r="I1530" t="s">
        <v>1471</v>
      </c>
      <c r="J1530" s="1" t="str">
        <f>HYPERLINK("https://zfin.org/ZDB-GENE-030131-7715")</f>
        <v>https://zfin.org/ZDB-GENE-030131-7715</v>
      </c>
      <c r="K1530" t="s">
        <v>1473</v>
      </c>
    </row>
    <row r="1531" spans="1:11" x14ac:dyDescent="0.2">
      <c r="A1531">
        <v>2.9022042950755298E-14</v>
      </c>
      <c r="B1531">
        <v>0.78108677774190804</v>
      </c>
      <c r="C1531">
        <v>0.6</v>
      </c>
      <c r="D1531">
        <v>0.20899999999999999</v>
      </c>
      <c r="E1531">
        <v>4.4934829100654401E-10</v>
      </c>
      <c r="F1531">
        <v>2</v>
      </c>
      <c r="G1531" t="s">
        <v>3811</v>
      </c>
      <c r="H1531" t="s">
        <v>3812</v>
      </c>
      <c r="I1531" t="s">
        <v>3811</v>
      </c>
      <c r="J1531" s="1" t="str">
        <f>HYPERLINK("https://zfin.org/ZDB-GENE-030131-3777")</f>
        <v>https://zfin.org/ZDB-GENE-030131-3777</v>
      </c>
      <c r="K1531" t="s">
        <v>3813</v>
      </c>
    </row>
    <row r="1532" spans="1:11" x14ac:dyDescent="0.2">
      <c r="A1532">
        <v>2.9053869940267702E-14</v>
      </c>
      <c r="B1532">
        <v>0.77048881828146698</v>
      </c>
      <c r="C1532">
        <v>0.55000000000000004</v>
      </c>
      <c r="D1532">
        <v>0.17199999999999999</v>
      </c>
      <c r="E1532">
        <v>4.4984106828516399E-10</v>
      </c>
      <c r="F1532">
        <v>2</v>
      </c>
      <c r="G1532" t="s">
        <v>1567</v>
      </c>
      <c r="H1532" t="s">
        <v>1568</v>
      </c>
      <c r="I1532" t="s">
        <v>1567</v>
      </c>
      <c r="J1532" s="1" t="str">
        <f>HYPERLINK("https://zfin.org/ZDB-GENE-040801-120")</f>
        <v>https://zfin.org/ZDB-GENE-040801-120</v>
      </c>
      <c r="K1532" t="s">
        <v>1569</v>
      </c>
    </row>
    <row r="1533" spans="1:11" x14ac:dyDescent="0.2">
      <c r="A1533">
        <v>2.9916191135233899E-14</v>
      </c>
      <c r="B1533">
        <v>0.35142888577922299</v>
      </c>
      <c r="C1533">
        <v>0.28299999999999997</v>
      </c>
      <c r="D1533">
        <v>4.8000000000000001E-2</v>
      </c>
      <c r="E1533">
        <v>4.6319238734682602E-10</v>
      </c>
      <c r="F1533">
        <v>2</v>
      </c>
      <c r="G1533" t="s">
        <v>1366</v>
      </c>
      <c r="H1533" t="s">
        <v>1367</v>
      </c>
      <c r="I1533" t="s">
        <v>1366</v>
      </c>
      <c r="J1533" s="1" t="str">
        <f>HYPERLINK("https://zfin.org/ZDB-GENE-040426-1690")</f>
        <v>https://zfin.org/ZDB-GENE-040426-1690</v>
      </c>
      <c r="K1533" t="s">
        <v>1368</v>
      </c>
    </row>
    <row r="1534" spans="1:11" x14ac:dyDescent="0.2">
      <c r="A1534">
        <v>3.0232024827823398E-14</v>
      </c>
      <c r="B1534">
        <v>0.66845432688746997</v>
      </c>
      <c r="C1534">
        <v>0.35</v>
      </c>
      <c r="D1534">
        <v>7.4999999999999997E-2</v>
      </c>
      <c r="E1534">
        <v>4.6808244040919003E-10</v>
      </c>
      <c r="F1534">
        <v>2</v>
      </c>
      <c r="G1534" t="s">
        <v>64</v>
      </c>
      <c r="H1534" t="s">
        <v>65</v>
      </c>
      <c r="I1534" t="s">
        <v>64</v>
      </c>
      <c r="J1534" s="1" t="str">
        <f>HYPERLINK("https://zfin.org/ZDB-GENE-070112-1912")</f>
        <v>https://zfin.org/ZDB-GENE-070112-1912</v>
      </c>
      <c r="K1534" t="s">
        <v>66</v>
      </c>
    </row>
    <row r="1535" spans="1:11" x14ac:dyDescent="0.2">
      <c r="A1535">
        <v>3.15065078452718E-14</v>
      </c>
      <c r="B1535">
        <v>0.40524921889242699</v>
      </c>
      <c r="C1535">
        <v>0.28299999999999997</v>
      </c>
      <c r="D1535">
        <v>4.8000000000000001E-2</v>
      </c>
      <c r="E1535">
        <v>4.8781526096834297E-10</v>
      </c>
      <c r="F1535">
        <v>2</v>
      </c>
      <c r="G1535" t="s">
        <v>3814</v>
      </c>
      <c r="H1535" t="s">
        <v>3815</v>
      </c>
      <c r="I1535" t="s">
        <v>3814</v>
      </c>
      <c r="J1535" s="1" t="str">
        <f>HYPERLINK("https://zfin.org/ZDB-GENE-060929-676")</f>
        <v>https://zfin.org/ZDB-GENE-060929-676</v>
      </c>
      <c r="K1535" t="s">
        <v>3816</v>
      </c>
    </row>
    <row r="1536" spans="1:11" x14ac:dyDescent="0.2">
      <c r="A1536">
        <v>3.21014579543181E-14</v>
      </c>
      <c r="B1536">
        <v>0.80213605206497396</v>
      </c>
      <c r="C1536">
        <v>0.8</v>
      </c>
      <c r="D1536">
        <v>0.38100000000000001</v>
      </c>
      <c r="E1536">
        <v>4.97026873506707E-10</v>
      </c>
      <c r="F1536">
        <v>2</v>
      </c>
      <c r="G1536" t="s">
        <v>3817</v>
      </c>
      <c r="H1536" t="s">
        <v>3818</v>
      </c>
      <c r="I1536" t="s">
        <v>3817</v>
      </c>
      <c r="J1536" s="1" t="str">
        <f>HYPERLINK("https://zfin.org/ZDB-GENE-040426-1932")</f>
        <v>https://zfin.org/ZDB-GENE-040426-1932</v>
      </c>
      <c r="K1536" t="s">
        <v>3819</v>
      </c>
    </row>
    <row r="1537" spans="1:11" x14ac:dyDescent="0.2">
      <c r="A1537">
        <v>3.7461024445601598E-14</v>
      </c>
      <c r="B1537">
        <v>0.44030946929529102</v>
      </c>
      <c r="C1537">
        <v>1</v>
      </c>
      <c r="D1537">
        <v>0.97099999999999997</v>
      </c>
      <c r="E1537">
        <v>5.8000904149124897E-10</v>
      </c>
      <c r="F1537">
        <v>2</v>
      </c>
      <c r="G1537" t="s">
        <v>1748</v>
      </c>
      <c r="H1537" t="s">
        <v>1749</v>
      </c>
      <c r="I1537" t="s">
        <v>1748</v>
      </c>
      <c r="J1537" s="1" t="str">
        <f>HYPERLINK("https://zfin.org/ZDB-GENE-990415-92")</f>
        <v>https://zfin.org/ZDB-GENE-990415-92</v>
      </c>
      <c r="K1537" t="s">
        <v>1750</v>
      </c>
    </row>
    <row r="1538" spans="1:11" x14ac:dyDescent="0.2">
      <c r="A1538">
        <v>3.8359228868909398E-14</v>
      </c>
      <c r="B1538">
        <v>0.37069922621588502</v>
      </c>
      <c r="C1538">
        <v>0.28299999999999997</v>
      </c>
      <c r="D1538">
        <v>4.9000000000000002E-2</v>
      </c>
      <c r="E1538">
        <v>5.9391594057732498E-10</v>
      </c>
      <c r="F1538">
        <v>2</v>
      </c>
      <c r="G1538" t="s">
        <v>1501</v>
      </c>
      <c r="H1538" t="s">
        <v>1502</v>
      </c>
      <c r="I1538" t="s">
        <v>1501</v>
      </c>
      <c r="J1538" s="1" t="str">
        <f>HYPERLINK("https://zfin.org/ZDB-GENE-030131-7518")</f>
        <v>https://zfin.org/ZDB-GENE-030131-7518</v>
      </c>
      <c r="K1538" t="s">
        <v>1503</v>
      </c>
    </row>
    <row r="1539" spans="1:11" x14ac:dyDescent="0.2">
      <c r="A1539">
        <v>4.0116093836743102E-14</v>
      </c>
      <c r="B1539">
        <v>0.65518187196254496</v>
      </c>
      <c r="C1539">
        <v>0.65</v>
      </c>
      <c r="D1539">
        <v>0.23499999999999999</v>
      </c>
      <c r="E1539">
        <v>6.2111748087429296E-10</v>
      </c>
      <c r="F1539">
        <v>2</v>
      </c>
      <c r="G1539" t="s">
        <v>3820</v>
      </c>
      <c r="H1539" t="s">
        <v>3821</v>
      </c>
      <c r="I1539" t="s">
        <v>3820</v>
      </c>
      <c r="J1539" s="1" t="str">
        <f>HYPERLINK("https://zfin.org/ZDB-GENE-040426-1038")</f>
        <v>https://zfin.org/ZDB-GENE-040426-1038</v>
      </c>
      <c r="K1539" t="s">
        <v>3822</v>
      </c>
    </row>
    <row r="1540" spans="1:11" x14ac:dyDescent="0.2">
      <c r="A1540">
        <v>4.3201322035237202E-14</v>
      </c>
      <c r="B1540">
        <v>0.68266300215625897</v>
      </c>
      <c r="C1540">
        <v>0.65</v>
      </c>
      <c r="D1540">
        <v>0.22</v>
      </c>
      <c r="E1540">
        <v>6.6888606907157695E-10</v>
      </c>
      <c r="F1540">
        <v>2</v>
      </c>
      <c r="G1540" t="s">
        <v>2736</v>
      </c>
      <c r="H1540" t="s">
        <v>2737</v>
      </c>
      <c r="I1540" t="s">
        <v>2736</v>
      </c>
      <c r="J1540" s="1" t="str">
        <f>HYPERLINK("https://zfin.org/ZDB-GENE-040426-1861")</f>
        <v>https://zfin.org/ZDB-GENE-040426-1861</v>
      </c>
      <c r="K1540" t="s">
        <v>2738</v>
      </c>
    </row>
    <row r="1541" spans="1:11" x14ac:dyDescent="0.2">
      <c r="A1541">
        <v>5.7398550691685696E-14</v>
      </c>
      <c r="B1541">
        <v>0.70882855783420395</v>
      </c>
      <c r="C1541">
        <v>0.7</v>
      </c>
      <c r="D1541">
        <v>0.29199999999999998</v>
      </c>
      <c r="E1541">
        <v>8.8870176035936999E-10</v>
      </c>
      <c r="F1541">
        <v>2</v>
      </c>
      <c r="G1541" t="s">
        <v>3823</v>
      </c>
      <c r="H1541" t="s">
        <v>3824</v>
      </c>
      <c r="I1541" t="s">
        <v>3823</v>
      </c>
      <c r="J1541" s="1" t="str">
        <f>HYPERLINK("https://zfin.org/ZDB-GENE-030131-5083")</f>
        <v>https://zfin.org/ZDB-GENE-030131-5083</v>
      </c>
      <c r="K1541" t="s">
        <v>3825</v>
      </c>
    </row>
    <row r="1542" spans="1:11" x14ac:dyDescent="0.2">
      <c r="A1542">
        <v>6.2608693895092297E-14</v>
      </c>
      <c r="B1542">
        <v>0.25116879501983502</v>
      </c>
      <c r="C1542">
        <v>0.217</v>
      </c>
      <c r="D1542">
        <v>2.9000000000000001E-2</v>
      </c>
      <c r="E1542">
        <v>9.69370407577715E-10</v>
      </c>
      <c r="F1542">
        <v>2</v>
      </c>
      <c r="G1542" t="s">
        <v>3826</v>
      </c>
      <c r="H1542" t="s">
        <v>3827</v>
      </c>
      <c r="I1542" t="s">
        <v>3826</v>
      </c>
      <c r="J1542" s="1" t="str">
        <f>HYPERLINK("https://zfin.org/ZDB-GENE-050417-93")</f>
        <v>https://zfin.org/ZDB-GENE-050417-93</v>
      </c>
      <c r="K1542" t="s">
        <v>3828</v>
      </c>
    </row>
    <row r="1543" spans="1:11" x14ac:dyDescent="0.2">
      <c r="A1543">
        <v>6.2987383493788105E-14</v>
      </c>
      <c r="B1543">
        <v>0.79913832231110404</v>
      </c>
      <c r="C1543">
        <v>0.61699999999999999</v>
      </c>
      <c r="D1543">
        <v>0.218</v>
      </c>
      <c r="E1543">
        <v>9.75233658634321E-10</v>
      </c>
      <c r="F1543">
        <v>2</v>
      </c>
      <c r="G1543" t="s">
        <v>3829</v>
      </c>
      <c r="H1543" t="s">
        <v>3830</v>
      </c>
      <c r="I1543" t="s">
        <v>3829</v>
      </c>
      <c r="J1543" s="1" t="str">
        <f>HYPERLINK("https://zfin.org/ZDB-GENE-060322-5")</f>
        <v>https://zfin.org/ZDB-GENE-060322-5</v>
      </c>
      <c r="K1543" t="s">
        <v>3831</v>
      </c>
    </row>
    <row r="1544" spans="1:11" x14ac:dyDescent="0.2">
      <c r="A1544">
        <v>6.3774206096696199E-14</v>
      </c>
      <c r="B1544">
        <v>0.81330713592755799</v>
      </c>
      <c r="C1544">
        <v>0.7</v>
      </c>
      <c r="D1544">
        <v>0.27800000000000002</v>
      </c>
      <c r="E1544">
        <v>9.8741603299514695E-10</v>
      </c>
      <c r="F1544">
        <v>2</v>
      </c>
      <c r="G1544" t="s">
        <v>3832</v>
      </c>
      <c r="H1544" t="s">
        <v>3833</v>
      </c>
      <c r="I1544" t="s">
        <v>3832</v>
      </c>
      <c r="J1544" s="1" t="str">
        <f>HYPERLINK("https://zfin.org/ZDB-GENE-020326-1")</f>
        <v>https://zfin.org/ZDB-GENE-020326-1</v>
      </c>
      <c r="K1544" t="s">
        <v>3834</v>
      </c>
    </row>
    <row r="1545" spans="1:11" x14ac:dyDescent="0.2">
      <c r="A1545">
        <v>7.0491329502224804E-14</v>
      </c>
      <c r="B1545">
        <v>0.54849535137254501</v>
      </c>
      <c r="C1545">
        <v>0.33300000000000002</v>
      </c>
      <c r="D1545">
        <v>6.8000000000000005E-2</v>
      </c>
      <c r="E1545">
        <v>1.09141725468295E-9</v>
      </c>
      <c r="F1545">
        <v>2</v>
      </c>
      <c r="G1545" t="s">
        <v>94</v>
      </c>
      <c r="H1545" t="s">
        <v>95</v>
      </c>
      <c r="I1545" t="s">
        <v>94</v>
      </c>
      <c r="J1545" s="1" t="str">
        <f>HYPERLINK("https://zfin.org/ZDB-GENE-070410-98")</f>
        <v>https://zfin.org/ZDB-GENE-070410-98</v>
      </c>
      <c r="K1545" t="s">
        <v>96</v>
      </c>
    </row>
    <row r="1546" spans="1:11" x14ac:dyDescent="0.2">
      <c r="A1546">
        <v>8.1283129188906394E-14</v>
      </c>
      <c r="B1546">
        <v>0.82445728090026904</v>
      </c>
      <c r="C1546">
        <v>0.76700000000000002</v>
      </c>
      <c r="D1546">
        <v>0.36599999999999999</v>
      </c>
      <c r="E1546">
        <v>1.2585066892318399E-9</v>
      </c>
      <c r="F1546">
        <v>2</v>
      </c>
      <c r="G1546" t="s">
        <v>3835</v>
      </c>
      <c r="H1546" t="s">
        <v>3836</v>
      </c>
      <c r="I1546" t="s">
        <v>3835</v>
      </c>
      <c r="J1546" s="1" t="str">
        <f>HYPERLINK("https://zfin.org/ZDB-GENE-020419-7")</f>
        <v>https://zfin.org/ZDB-GENE-020419-7</v>
      </c>
      <c r="K1546" t="s">
        <v>3837</v>
      </c>
    </row>
    <row r="1547" spans="1:11" x14ac:dyDescent="0.2">
      <c r="A1547">
        <v>8.2190105600504601E-14</v>
      </c>
      <c r="B1547">
        <v>0.51421478664817</v>
      </c>
      <c r="C1547">
        <v>0.5</v>
      </c>
      <c r="D1547">
        <v>0.13700000000000001</v>
      </c>
      <c r="E1547">
        <v>1.27254940501261E-9</v>
      </c>
      <c r="F1547">
        <v>2</v>
      </c>
      <c r="G1547" t="s">
        <v>3838</v>
      </c>
      <c r="H1547" t="s">
        <v>3839</v>
      </c>
      <c r="I1547" t="s">
        <v>3838</v>
      </c>
      <c r="J1547" s="1" t="str">
        <f>HYPERLINK("https://zfin.org/ZDB-GENE-030828-12")</f>
        <v>https://zfin.org/ZDB-GENE-030828-12</v>
      </c>
      <c r="K1547" t="s">
        <v>3840</v>
      </c>
    </row>
    <row r="1548" spans="1:11" x14ac:dyDescent="0.2">
      <c r="A1548">
        <v>8.7940845442365902E-14</v>
      </c>
      <c r="B1548">
        <v>0.551338019115163</v>
      </c>
      <c r="C1548">
        <v>0.46700000000000003</v>
      </c>
      <c r="D1548">
        <v>0.123</v>
      </c>
      <c r="E1548">
        <v>1.3615881099841501E-9</v>
      </c>
      <c r="F1548">
        <v>2</v>
      </c>
      <c r="G1548" t="s">
        <v>3841</v>
      </c>
      <c r="H1548" t="s">
        <v>3842</v>
      </c>
      <c r="I1548" t="s">
        <v>3841</v>
      </c>
      <c r="J1548" s="1" t="str">
        <f>HYPERLINK("https://zfin.org/ZDB-GENE-120201-2")</f>
        <v>https://zfin.org/ZDB-GENE-120201-2</v>
      </c>
      <c r="K1548" t="s">
        <v>3843</v>
      </c>
    </row>
    <row r="1549" spans="1:11" x14ac:dyDescent="0.2">
      <c r="A1549">
        <v>9.1658598546949903E-14</v>
      </c>
      <c r="B1549">
        <v>0.45344179682381103</v>
      </c>
      <c r="C1549">
        <v>0.25</v>
      </c>
      <c r="D1549">
        <v>0.04</v>
      </c>
      <c r="E1549">
        <v>1.41915008130242E-9</v>
      </c>
      <c r="F1549">
        <v>2</v>
      </c>
      <c r="G1549" t="s">
        <v>3844</v>
      </c>
      <c r="H1549" t="s">
        <v>3845</v>
      </c>
      <c r="I1549" t="s">
        <v>3844</v>
      </c>
      <c r="J1549" s="1" t="str">
        <f>HYPERLINK("https://zfin.org/ZDB-GENE-130109-1")</f>
        <v>https://zfin.org/ZDB-GENE-130109-1</v>
      </c>
      <c r="K1549" t="s">
        <v>3846</v>
      </c>
    </row>
    <row r="1550" spans="1:11" x14ac:dyDescent="0.2">
      <c r="A1550">
        <v>9.4971261560570105E-14</v>
      </c>
      <c r="B1550">
        <v>0.72257463727651805</v>
      </c>
      <c r="C1550">
        <v>0.6</v>
      </c>
      <c r="D1550">
        <v>0.2</v>
      </c>
      <c r="E1550">
        <v>1.47044004274231E-9</v>
      </c>
      <c r="F1550">
        <v>2</v>
      </c>
      <c r="G1550" t="s">
        <v>3847</v>
      </c>
      <c r="H1550" t="s">
        <v>3848</v>
      </c>
      <c r="I1550" t="s">
        <v>3847</v>
      </c>
      <c r="J1550" s="1" t="str">
        <f>HYPERLINK("https://zfin.org/ZDB-GENE-131121-445")</f>
        <v>https://zfin.org/ZDB-GENE-131121-445</v>
      </c>
      <c r="K1550" t="s">
        <v>3849</v>
      </c>
    </row>
    <row r="1551" spans="1:11" x14ac:dyDescent="0.2">
      <c r="A1551">
        <v>9.5624807348685595E-14</v>
      </c>
      <c r="B1551">
        <v>0.57713856747376802</v>
      </c>
      <c r="C1551">
        <v>0.45</v>
      </c>
      <c r="D1551">
        <v>0.12</v>
      </c>
      <c r="E1551">
        <v>1.4805588921797E-9</v>
      </c>
      <c r="F1551">
        <v>2</v>
      </c>
      <c r="G1551" t="s">
        <v>2183</v>
      </c>
      <c r="H1551" t="s">
        <v>2184</v>
      </c>
      <c r="I1551" t="s">
        <v>2183</v>
      </c>
      <c r="J1551" s="1" t="str">
        <f>HYPERLINK("https://zfin.org/ZDB-GENE-040426-1753")</f>
        <v>https://zfin.org/ZDB-GENE-040426-1753</v>
      </c>
      <c r="K1551" t="s">
        <v>2185</v>
      </c>
    </row>
    <row r="1552" spans="1:11" x14ac:dyDescent="0.2">
      <c r="A1552">
        <v>1.0823095986105E-13</v>
      </c>
      <c r="B1552">
        <v>0.61132513457660997</v>
      </c>
      <c r="C1552">
        <v>0.317</v>
      </c>
      <c r="D1552">
        <v>6.3E-2</v>
      </c>
      <c r="E1552">
        <v>1.67573995152863E-9</v>
      </c>
      <c r="F1552">
        <v>2</v>
      </c>
      <c r="G1552" t="s">
        <v>3850</v>
      </c>
      <c r="H1552" t="s">
        <v>3851</v>
      </c>
      <c r="I1552" t="s">
        <v>3850</v>
      </c>
      <c r="J1552" s="1" t="str">
        <f>HYPERLINK("https://zfin.org/ZDB-GENE-050419-73")</f>
        <v>https://zfin.org/ZDB-GENE-050419-73</v>
      </c>
      <c r="K1552" t="s">
        <v>3852</v>
      </c>
    </row>
    <row r="1553" spans="1:11" x14ac:dyDescent="0.2">
      <c r="A1553">
        <v>1.08855988758685E-13</v>
      </c>
      <c r="B1553">
        <v>0.377643198496734</v>
      </c>
      <c r="C1553">
        <v>0.23300000000000001</v>
      </c>
      <c r="D1553">
        <v>3.5000000000000003E-2</v>
      </c>
      <c r="E1553">
        <v>1.6854172739507201E-9</v>
      </c>
      <c r="F1553">
        <v>2</v>
      </c>
      <c r="G1553" t="s">
        <v>1997</v>
      </c>
      <c r="H1553" t="s">
        <v>1998</v>
      </c>
      <c r="I1553" t="s">
        <v>1997</v>
      </c>
      <c r="J1553" s="1" t="str">
        <f>HYPERLINK("https://zfin.org/ZDB-GENE-041210-9")</f>
        <v>https://zfin.org/ZDB-GENE-041210-9</v>
      </c>
      <c r="K1553" t="s">
        <v>1999</v>
      </c>
    </row>
    <row r="1554" spans="1:11" x14ac:dyDescent="0.2">
      <c r="A1554">
        <v>1.1098907055698001E-13</v>
      </c>
      <c r="B1554">
        <v>0.30020296431801002</v>
      </c>
      <c r="C1554">
        <v>0.23300000000000001</v>
      </c>
      <c r="D1554">
        <v>3.5000000000000003E-2</v>
      </c>
      <c r="E1554">
        <v>1.71844377943372E-9</v>
      </c>
      <c r="F1554">
        <v>2</v>
      </c>
      <c r="G1554" t="s">
        <v>878</v>
      </c>
      <c r="H1554" t="s">
        <v>879</v>
      </c>
      <c r="I1554" t="s">
        <v>878</v>
      </c>
      <c r="J1554" s="1" t="str">
        <f>HYPERLINK("https://zfin.org/")</f>
        <v>https://zfin.org/</v>
      </c>
      <c r="K1554" t="s">
        <v>880</v>
      </c>
    </row>
    <row r="1555" spans="1:11" x14ac:dyDescent="0.2">
      <c r="A1555">
        <v>1.11627153148163E-13</v>
      </c>
      <c r="B1555">
        <v>0.47793584660906502</v>
      </c>
      <c r="C1555">
        <v>0.16700000000000001</v>
      </c>
      <c r="D1555">
        <v>1.7999999999999999E-2</v>
      </c>
      <c r="E1555">
        <v>1.72832321219301E-9</v>
      </c>
      <c r="F1555">
        <v>2</v>
      </c>
      <c r="G1555" t="s">
        <v>3853</v>
      </c>
      <c r="H1555" t="s">
        <v>3854</v>
      </c>
      <c r="I1555" t="s">
        <v>3853</v>
      </c>
      <c r="J1555" s="1" t="str">
        <f>HYPERLINK("https://zfin.org/ZDB-GENE-090313-222")</f>
        <v>https://zfin.org/ZDB-GENE-090313-222</v>
      </c>
      <c r="K1555" t="s">
        <v>3855</v>
      </c>
    </row>
    <row r="1556" spans="1:11" x14ac:dyDescent="0.2">
      <c r="A1556">
        <v>1.1688016492829799E-13</v>
      </c>
      <c r="B1556">
        <v>0.33834664975894202</v>
      </c>
      <c r="C1556">
        <v>0.23300000000000001</v>
      </c>
      <c r="D1556">
        <v>3.5000000000000003E-2</v>
      </c>
      <c r="E1556">
        <v>1.80965559358484E-9</v>
      </c>
      <c r="F1556">
        <v>2</v>
      </c>
      <c r="G1556" t="s">
        <v>537</v>
      </c>
      <c r="H1556" t="s">
        <v>538</v>
      </c>
      <c r="I1556" t="s">
        <v>537</v>
      </c>
      <c r="J1556" s="1" t="str">
        <f>HYPERLINK("https://zfin.org/ZDB-GENE-030131-7672")</f>
        <v>https://zfin.org/ZDB-GENE-030131-7672</v>
      </c>
      <c r="K1556" t="s">
        <v>539</v>
      </c>
    </row>
    <row r="1557" spans="1:11" x14ac:dyDescent="0.2">
      <c r="A1557">
        <v>1.2104139272592501E-13</v>
      </c>
      <c r="B1557">
        <v>0.27191839604096202</v>
      </c>
      <c r="C1557">
        <v>0.217</v>
      </c>
      <c r="D1557">
        <v>0.03</v>
      </c>
      <c r="E1557">
        <v>1.87408388357549E-9</v>
      </c>
      <c r="F1557">
        <v>2</v>
      </c>
      <c r="G1557" t="s">
        <v>797</v>
      </c>
      <c r="H1557" t="s">
        <v>798</v>
      </c>
      <c r="I1557" t="s">
        <v>797</v>
      </c>
      <c r="J1557" s="1" t="str">
        <f>HYPERLINK("https://zfin.org/ZDB-GENE-141212-371")</f>
        <v>https://zfin.org/ZDB-GENE-141212-371</v>
      </c>
      <c r="K1557" t="s">
        <v>799</v>
      </c>
    </row>
    <row r="1558" spans="1:11" x14ac:dyDescent="0.2">
      <c r="A1558">
        <v>1.24018990645975E-13</v>
      </c>
      <c r="B1558">
        <v>0.68264809628982903</v>
      </c>
      <c r="C1558">
        <v>0.41699999999999998</v>
      </c>
      <c r="D1558">
        <v>0.10299999999999999</v>
      </c>
      <c r="E1558">
        <v>1.9201860321716399E-9</v>
      </c>
      <c r="F1558">
        <v>2</v>
      </c>
      <c r="G1558" t="s">
        <v>20</v>
      </c>
      <c r="H1558" t="s">
        <v>21</v>
      </c>
      <c r="I1558" t="s">
        <v>20</v>
      </c>
      <c r="J1558" s="1" t="str">
        <f>HYPERLINK("https://zfin.org/ZDB-GENE-030804-7")</f>
        <v>https://zfin.org/ZDB-GENE-030804-7</v>
      </c>
      <c r="K1558" t="s">
        <v>22</v>
      </c>
    </row>
    <row r="1559" spans="1:11" x14ac:dyDescent="0.2">
      <c r="A1559">
        <v>1.29963770078361E-13</v>
      </c>
      <c r="B1559">
        <v>0.37264291975957298</v>
      </c>
      <c r="C1559">
        <v>0.28299999999999997</v>
      </c>
      <c r="D1559">
        <v>5.0999999999999997E-2</v>
      </c>
      <c r="E1559">
        <v>2.01222905212326E-9</v>
      </c>
      <c r="F1559">
        <v>2</v>
      </c>
      <c r="G1559" t="s">
        <v>3856</v>
      </c>
      <c r="H1559" t="s">
        <v>3857</v>
      </c>
      <c r="I1559" t="s">
        <v>3856</v>
      </c>
      <c r="J1559" s="1" t="str">
        <f>HYPERLINK("https://zfin.org/ZDB-GENE-040426-1472")</f>
        <v>https://zfin.org/ZDB-GENE-040426-1472</v>
      </c>
      <c r="K1559" t="s">
        <v>3858</v>
      </c>
    </row>
    <row r="1560" spans="1:11" x14ac:dyDescent="0.2">
      <c r="A1560">
        <v>1.3126074193570899E-13</v>
      </c>
      <c r="B1560">
        <v>0.73633089977920596</v>
      </c>
      <c r="C1560">
        <v>0.9</v>
      </c>
      <c r="D1560">
        <v>0.495</v>
      </c>
      <c r="E1560">
        <v>2.0323100673905902E-9</v>
      </c>
      <c r="F1560">
        <v>2</v>
      </c>
      <c r="G1560" t="s">
        <v>3859</v>
      </c>
      <c r="H1560" t="s">
        <v>3860</v>
      </c>
      <c r="I1560" t="s">
        <v>3859</v>
      </c>
      <c r="J1560" s="1" t="str">
        <f>HYPERLINK("https://zfin.org/ZDB-GENE-040426-1112")</f>
        <v>https://zfin.org/ZDB-GENE-040426-1112</v>
      </c>
      <c r="K1560" t="s">
        <v>3861</v>
      </c>
    </row>
    <row r="1561" spans="1:11" x14ac:dyDescent="0.2">
      <c r="A1561">
        <v>1.35436221597468E-13</v>
      </c>
      <c r="B1561">
        <v>0.51966606475115995</v>
      </c>
      <c r="C1561">
        <v>0.3</v>
      </c>
      <c r="D1561">
        <v>5.7000000000000002E-2</v>
      </c>
      <c r="E1561">
        <v>2.0969590189935999E-9</v>
      </c>
      <c r="F1561">
        <v>2</v>
      </c>
      <c r="G1561" t="s">
        <v>368</v>
      </c>
      <c r="H1561" t="s">
        <v>369</v>
      </c>
      <c r="I1561" t="s">
        <v>368</v>
      </c>
      <c r="J1561" s="1" t="str">
        <f>HYPERLINK("https://zfin.org/ZDB-GENE-040718-9")</f>
        <v>https://zfin.org/ZDB-GENE-040718-9</v>
      </c>
      <c r="K1561" t="s">
        <v>370</v>
      </c>
    </row>
    <row r="1562" spans="1:11" x14ac:dyDescent="0.2">
      <c r="A1562">
        <v>1.4407698571371201E-13</v>
      </c>
      <c r="B1562">
        <v>1.0457739708930101</v>
      </c>
      <c r="C1562">
        <v>0.98299999999999998</v>
      </c>
      <c r="D1562">
        <v>0.85899999999999999</v>
      </c>
      <c r="E1562">
        <v>2.2307439698054002E-9</v>
      </c>
      <c r="F1562">
        <v>2</v>
      </c>
      <c r="G1562" t="s">
        <v>722</v>
      </c>
      <c r="H1562" t="s">
        <v>723</v>
      </c>
      <c r="I1562" t="s">
        <v>722</v>
      </c>
      <c r="J1562" s="1" t="str">
        <f>HYPERLINK("https://zfin.org/ZDB-GENE-080722-16")</f>
        <v>https://zfin.org/ZDB-GENE-080722-16</v>
      </c>
      <c r="K1562" t="s">
        <v>724</v>
      </c>
    </row>
    <row r="1563" spans="1:11" x14ac:dyDescent="0.2">
      <c r="A1563">
        <v>1.51042354795574E-13</v>
      </c>
      <c r="B1563">
        <v>0.54101681464451001</v>
      </c>
      <c r="C1563">
        <v>0.25</v>
      </c>
      <c r="D1563">
        <v>4.1000000000000002E-2</v>
      </c>
      <c r="E1563">
        <v>2.33858877929987E-9</v>
      </c>
      <c r="F1563">
        <v>2</v>
      </c>
      <c r="G1563" t="s">
        <v>621</v>
      </c>
      <c r="H1563" t="s">
        <v>622</v>
      </c>
      <c r="I1563" t="s">
        <v>621</v>
      </c>
      <c r="J1563" s="1" t="str">
        <f>HYPERLINK("https://zfin.org/ZDB-GENE-100922-241")</f>
        <v>https://zfin.org/ZDB-GENE-100922-241</v>
      </c>
      <c r="K1563" t="s">
        <v>623</v>
      </c>
    </row>
    <row r="1564" spans="1:11" x14ac:dyDescent="0.2">
      <c r="A1564">
        <v>1.54675861539366E-13</v>
      </c>
      <c r="B1564">
        <v>0.65678905483500005</v>
      </c>
      <c r="C1564">
        <v>0.88300000000000001</v>
      </c>
      <c r="D1564">
        <v>0.45</v>
      </c>
      <c r="E1564">
        <v>2.3948463642140102E-9</v>
      </c>
      <c r="F1564">
        <v>2</v>
      </c>
      <c r="G1564" t="s">
        <v>3862</v>
      </c>
      <c r="H1564" t="s">
        <v>3863</v>
      </c>
      <c r="I1564" t="s">
        <v>3862</v>
      </c>
      <c r="J1564" s="1" t="str">
        <f>HYPERLINK("https://zfin.org/ZDB-GENE-030131-5408")</f>
        <v>https://zfin.org/ZDB-GENE-030131-5408</v>
      </c>
      <c r="K1564" t="s">
        <v>3864</v>
      </c>
    </row>
    <row r="1565" spans="1:11" x14ac:dyDescent="0.2">
      <c r="A1565">
        <v>1.68596732127388E-13</v>
      </c>
      <c r="B1565">
        <v>-1.6620675646141501</v>
      </c>
      <c r="C1565">
        <v>0.13300000000000001</v>
      </c>
      <c r="D1565">
        <v>0.61199999999999999</v>
      </c>
      <c r="E1565">
        <v>2.6103832035283501E-9</v>
      </c>
      <c r="F1565">
        <v>2</v>
      </c>
      <c r="G1565" t="s">
        <v>2612</v>
      </c>
      <c r="H1565" t="s">
        <v>2613</v>
      </c>
      <c r="I1565" t="s">
        <v>2612</v>
      </c>
      <c r="J1565" s="1" t="str">
        <f>HYPERLINK("https://zfin.org/ZDB-GENE-030131-9126")</f>
        <v>https://zfin.org/ZDB-GENE-030131-9126</v>
      </c>
      <c r="K1565" t="s">
        <v>2614</v>
      </c>
    </row>
    <row r="1566" spans="1:11" x14ac:dyDescent="0.2">
      <c r="A1566">
        <v>1.97301645994142E-13</v>
      </c>
      <c r="B1566">
        <v>0.832079561668011</v>
      </c>
      <c r="C1566">
        <v>0.81699999999999995</v>
      </c>
      <c r="D1566">
        <v>0.433</v>
      </c>
      <c r="E1566">
        <v>3.0548213849273002E-9</v>
      </c>
      <c r="F1566">
        <v>2</v>
      </c>
      <c r="G1566" t="s">
        <v>3865</v>
      </c>
      <c r="H1566" t="s">
        <v>3866</v>
      </c>
      <c r="I1566" t="s">
        <v>3865</v>
      </c>
      <c r="J1566" s="1" t="str">
        <f>HYPERLINK("https://zfin.org/ZDB-GENE-040801-15")</f>
        <v>https://zfin.org/ZDB-GENE-040801-15</v>
      </c>
      <c r="K1566" t="s">
        <v>3867</v>
      </c>
    </row>
    <row r="1567" spans="1:11" x14ac:dyDescent="0.2">
      <c r="A1567">
        <v>1.9923658145767099E-13</v>
      </c>
      <c r="B1567">
        <v>0.31116365351430603</v>
      </c>
      <c r="C1567">
        <v>0.23300000000000001</v>
      </c>
      <c r="D1567">
        <v>3.5999999999999997E-2</v>
      </c>
      <c r="E1567">
        <v>3.08477999070911E-9</v>
      </c>
      <c r="F1567">
        <v>2</v>
      </c>
      <c r="G1567" t="s">
        <v>1922</v>
      </c>
      <c r="H1567" t="s">
        <v>1923</v>
      </c>
      <c r="I1567" t="s">
        <v>1922</v>
      </c>
      <c r="J1567" s="1" t="str">
        <f>HYPERLINK("https://zfin.org/ZDB-GENE-040801-151")</f>
        <v>https://zfin.org/ZDB-GENE-040801-151</v>
      </c>
      <c r="K1567" t="s">
        <v>1924</v>
      </c>
    </row>
    <row r="1568" spans="1:11" x14ac:dyDescent="0.2">
      <c r="A1568">
        <v>2.0084843809584601E-13</v>
      </c>
      <c r="B1568">
        <v>-1.5369140160771699</v>
      </c>
      <c r="C1568">
        <v>0.16700000000000001</v>
      </c>
      <c r="D1568">
        <v>0.61699999999999999</v>
      </c>
      <c r="E1568">
        <v>3.1097363670379802E-9</v>
      </c>
      <c r="F1568">
        <v>2</v>
      </c>
      <c r="G1568" t="s">
        <v>2446</v>
      </c>
      <c r="H1568" t="s">
        <v>2447</v>
      </c>
      <c r="I1568" t="s">
        <v>2446</v>
      </c>
      <c r="J1568" s="1" t="str">
        <f>HYPERLINK("https://zfin.org/ZDB-GENE-030131-4678")</f>
        <v>https://zfin.org/ZDB-GENE-030131-4678</v>
      </c>
      <c r="K1568" t="s">
        <v>2448</v>
      </c>
    </row>
    <row r="1569" spans="1:11" x14ac:dyDescent="0.2">
      <c r="A1569">
        <v>2.06038198218107E-13</v>
      </c>
      <c r="B1569">
        <v>0.56473901240643898</v>
      </c>
      <c r="C1569">
        <v>0.33300000000000002</v>
      </c>
      <c r="D1569">
        <v>7.0999999999999994E-2</v>
      </c>
      <c r="E1569">
        <v>3.1900894230109498E-9</v>
      </c>
      <c r="F1569">
        <v>2</v>
      </c>
      <c r="G1569" t="s">
        <v>302</v>
      </c>
      <c r="H1569" t="s">
        <v>303</v>
      </c>
      <c r="I1569" t="s">
        <v>302</v>
      </c>
      <c r="J1569" s="1" t="str">
        <f>HYPERLINK("https://zfin.org/ZDB-GENE-040718-445")</f>
        <v>https://zfin.org/ZDB-GENE-040718-445</v>
      </c>
      <c r="K1569" t="s">
        <v>304</v>
      </c>
    </row>
    <row r="1570" spans="1:11" x14ac:dyDescent="0.2">
      <c r="A1570">
        <v>2.0660777779816399E-13</v>
      </c>
      <c r="B1570">
        <v>0.34954670776595098</v>
      </c>
      <c r="C1570">
        <v>0.26700000000000002</v>
      </c>
      <c r="D1570">
        <v>4.5999999999999999E-2</v>
      </c>
      <c r="E1570">
        <v>3.19890822364897E-9</v>
      </c>
      <c r="F1570">
        <v>2</v>
      </c>
      <c r="G1570" t="s">
        <v>1843</v>
      </c>
      <c r="H1570" t="s">
        <v>1844</v>
      </c>
      <c r="I1570" t="s">
        <v>1843</v>
      </c>
      <c r="J1570" s="1" t="str">
        <f>HYPERLINK("https://zfin.org/ZDB-GENE-030131-574")</f>
        <v>https://zfin.org/ZDB-GENE-030131-574</v>
      </c>
      <c r="K1570" t="s">
        <v>1845</v>
      </c>
    </row>
    <row r="1571" spans="1:11" x14ac:dyDescent="0.2">
      <c r="A1571">
        <v>2.0836513924014799E-13</v>
      </c>
      <c r="B1571">
        <v>0.63682949703255698</v>
      </c>
      <c r="C1571">
        <v>0.45</v>
      </c>
      <c r="D1571">
        <v>0.11799999999999999</v>
      </c>
      <c r="E1571">
        <v>3.2261174508552101E-9</v>
      </c>
      <c r="F1571">
        <v>2</v>
      </c>
      <c r="G1571" t="s">
        <v>243</v>
      </c>
      <c r="H1571" t="s">
        <v>244</v>
      </c>
      <c r="I1571" t="s">
        <v>243</v>
      </c>
      <c r="J1571" s="1" t="str">
        <f>HYPERLINK("https://zfin.org/ZDB-GENE-000412-1")</f>
        <v>https://zfin.org/ZDB-GENE-000412-1</v>
      </c>
      <c r="K1571" t="s">
        <v>245</v>
      </c>
    </row>
    <row r="1572" spans="1:11" x14ac:dyDescent="0.2">
      <c r="A1572">
        <v>2.2179733380682799E-13</v>
      </c>
      <c r="B1572">
        <v>0.50489823704173897</v>
      </c>
      <c r="C1572">
        <v>0.433</v>
      </c>
      <c r="D1572">
        <v>0.112</v>
      </c>
      <c r="E1572">
        <v>3.4340881193311099E-9</v>
      </c>
      <c r="F1572">
        <v>2</v>
      </c>
      <c r="G1572" t="s">
        <v>3868</v>
      </c>
      <c r="H1572" t="s">
        <v>3869</v>
      </c>
      <c r="I1572" t="s">
        <v>3868</v>
      </c>
      <c r="J1572" s="1" t="str">
        <f>HYPERLINK("https://zfin.org/ZDB-GENE-040625-69")</f>
        <v>https://zfin.org/ZDB-GENE-040625-69</v>
      </c>
      <c r="K1572" t="s">
        <v>3870</v>
      </c>
    </row>
    <row r="1573" spans="1:11" x14ac:dyDescent="0.2">
      <c r="A1573">
        <v>2.48176562625747E-13</v>
      </c>
      <c r="B1573">
        <v>0.33814254073990402</v>
      </c>
      <c r="C1573">
        <v>0.25</v>
      </c>
      <c r="D1573">
        <v>4.1000000000000002E-2</v>
      </c>
      <c r="E1573">
        <v>3.8425177191344397E-9</v>
      </c>
      <c r="F1573">
        <v>2</v>
      </c>
      <c r="G1573" t="s">
        <v>2260</v>
      </c>
      <c r="H1573" t="s">
        <v>2261</v>
      </c>
      <c r="I1573" t="s">
        <v>2260</v>
      </c>
      <c r="J1573" s="1" t="str">
        <f>HYPERLINK("https://zfin.org/ZDB-GENE-070117-2066")</f>
        <v>https://zfin.org/ZDB-GENE-070117-2066</v>
      </c>
      <c r="K1573" t="s">
        <v>2262</v>
      </c>
    </row>
    <row r="1574" spans="1:11" x14ac:dyDescent="0.2">
      <c r="A1574">
        <v>2.67135735575779E-13</v>
      </c>
      <c r="B1574">
        <v>0.32871337349242302</v>
      </c>
      <c r="C1574">
        <v>0.25</v>
      </c>
      <c r="D1574">
        <v>0.04</v>
      </c>
      <c r="E1574">
        <v>4.1360625939197898E-9</v>
      </c>
      <c r="F1574">
        <v>2</v>
      </c>
      <c r="G1574" t="s">
        <v>3871</v>
      </c>
      <c r="H1574" t="s">
        <v>3872</v>
      </c>
      <c r="I1574" t="s">
        <v>3871</v>
      </c>
      <c r="J1574" s="1" t="str">
        <f>HYPERLINK("https://zfin.org/ZDB-GENE-030131-2804")</f>
        <v>https://zfin.org/ZDB-GENE-030131-2804</v>
      </c>
      <c r="K1574" t="s">
        <v>3873</v>
      </c>
    </row>
    <row r="1575" spans="1:11" x14ac:dyDescent="0.2">
      <c r="A1575">
        <v>3.13158061111688E-13</v>
      </c>
      <c r="B1575">
        <v>0.64250244959959202</v>
      </c>
      <c r="C1575">
        <v>0.48299999999999998</v>
      </c>
      <c r="D1575">
        <v>0.13300000000000001</v>
      </c>
      <c r="E1575">
        <v>4.8486262601922599E-9</v>
      </c>
      <c r="F1575">
        <v>2</v>
      </c>
      <c r="G1575" t="s">
        <v>123</v>
      </c>
      <c r="H1575" t="s">
        <v>124</v>
      </c>
      <c r="I1575" t="s">
        <v>123</v>
      </c>
      <c r="J1575" s="1" t="str">
        <f>HYPERLINK("https://zfin.org/ZDB-GENE-050522-319")</f>
        <v>https://zfin.org/ZDB-GENE-050522-319</v>
      </c>
      <c r="K1575" t="s">
        <v>125</v>
      </c>
    </row>
    <row r="1576" spans="1:11" x14ac:dyDescent="0.2">
      <c r="A1576">
        <v>3.1591089086952201E-13</v>
      </c>
      <c r="B1576">
        <v>0.60141434383361203</v>
      </c>
      <c r="C1576">
        <v>0.95</v>
      </c>
      <c r="D1576">
        <v>0.66600000000000004</v>
      </c>
      <c r="E1576">
        <v>4.89124832333281E-9</v>
      </c>
      <c r="F1576">
        <v>2</v>
      </c>
      <c r="G1576" t="s">
        <v>1489</v>
      </c>
      <c r="H1576" t="s">
        <v>1490</v>
      </c>
      <c r="I1576" t="s">
        <v>1489</v>
      </c>
      <c r="J1576" s="1" t="str">
        <f>HYPERLINK("https://zfin.org/ZDB-GENE-040625-180")</f>
        <v>https://zfin.org/ZDB-GENE-040625-180</v>
      </c>
      <c r="K1576" t="s">
        <v>1491</v>
      </c>
    </row>
    <row r="1577" spans="1:11" x14ac:dyDescent="0.2">
      <c r="A1577">
        <v>3.2325277116623601E-13</v>
      </c>
      <c r="B1577">
        <v>0.52561366912361596</v>
      </c>
      <c r="C1577">
        <v>0.35</v>
      </c>
      <c r="D1577">
        <v>7.6999999999999999E-2</v>
      </c>
      <c r="E1577">
        <v>5.0049226559668402E-9</v>
      </c>
      <c r="F1577">
        <v>2</v>
      </c>
      <c r="G1577" t="s">
        <v>109</v>
      </c>
      <c r="H1577" t="s">
        <v>110</v>
      </c>
      <c r="I1577" t="s">
        <v>109</v>
      </c>
      <c r="J1577" s="1" t="str">
        <f>HYPERLINK("https://zfin.org/ZDB-GENE-041114-100")</f>
        <v>https://zfin.org/ZDB-GENE-041114-100</v>
      </c>
      <c r="K1577" t="s">
        <v>111</v>
      </c>
    </row>
    <row r="1578" spans="1:11" x14ac:dyDescent="0.2">
      <c r="A1578">
        <v>3.24554218449431E-13</v>
      </c>
      <c r="B1578">
        <v>0.64710275789003602</v>
      </c>
      <c r="C1578">
        <v>0.63300000000000001</v>
      </c>
      <c r="D1578">
        <v>0.22500000000000001</v>
      </c>
      <c r="E1578">
        <v>5.0250729642525399E-9</v>
      </c>
      <c r="F1578">
        <v>2</v>
      </c>
      <c r="G1578" t="s">
        <v>3874</v>
      </c>
      <c r="H1578" t="s">
        <v>3875</v>
      </c>
      <c r="I1578" t="s">
        <v>3874</v>
      </c>
      <c r="J1578" s="1" t="str">
        <f>HYPERLINK("https://zfin.org/ZDB-GENE-040625-144")</f>
        <v>https://zfin.org/ZDB-GENE-040625-144</v>
      </c>
      <c r="K1578" t="s">
        <v>3876</v>
      </c>
    </row>
    <row r="1579" spans="1:11" x14ac:dyDescent="0.2">
      <c r="A1579">
        <v>3.3894121273279698E-13</v>
      </c>
      <c r="B1579">
        <v>0.45632020161342401</v>
      </c>
      <c r="C1579">
        <v>0.3</v>
      </c>
      <c r="D1579">
        <v>5.8999999999999997E-2</v>
      </c>
      <c r="E1579">
        <v>5.2478267967418897E-9</v>
      </c>
      <c r="F1579">
        <v>2</v>
      </c>
      <c r="G1579" t="s">
        <v>53</v>
      </c>
      <c r="H1579" t="s">
        <v>54</v>
      </c>
      <c r="I1579" t="s">
        <v>53</v>
      </c>
      <c r="J1579" s="1" t="str">
        <f>HYPERLINK("https://zfin.org/ZDB-GENE-070912-70")</f>
        <v>https://zfin.org/ZDB-GENE-070912-70</v>
      </c>
      <c r="K1579" t="s">
        <v>55</v>
      </c>
    </row>
    <row r="1580" spans="1:11" x14ac:dyDescent="0.2">
      <c r="A1580">
        <v>3.3974656987057202E-13</v>
      </c>
      <c r="B1580">
        <v>0.96736557848189397</v>
      </c>
      <c r="C1580">
        <v>0.86699999999999999</v>
      </c>
      <c r="D1580">
        <v>0.5</v>
      </c>
      <c r="E1580">
        <v>5.2602961413060701E-9</v>
      </c>
      <c r="F1580">
        <v>2</v>
      </c>
      <c r="G1580" t="s">
        <v>3086</v>
      </c>
      <c r="H1580" t="s">
        <v>3087</v>
      </c>
      <c r="I1580" t="s">
        <v>3086</v>
      </c>
      <c r="J1580" s="1" t="str">
        <f>HYPERLINK("https://zfin.org/ZDB-GENE-030131-247")</f>
        <v>https://zfin.org/ZDB-GENE-030131-247</v>
      </c>
      <c r="K1580" t="s">
        <v>3088</v>
      </c>
    </row>
    <row r="1581" spans="1:11" x14ac:dyDescent="0.2">
      <c r="A1581">
        <v>3.4261074328709401E-13</v>
      </c>
      <c r="B1581">
        <v>0.51842421007739004</v>
      </c>
      <c r="C1581">
        <v>0.28299999999999997</v>
      </c>
      <c r="D1581">
        <v>5.0999999999999997E-2</v>
      </c>
      <c r="E1581">
        <v>5.3046421383140699E-9</v>
      </c>
      <c r="F1581">
        <v>2</v>
      </c>
      <c r="G1581" t="s">
        <v>3877</v>
      </c>
      <c r="H1581" t="s">
        <v>3878</v>
      </c>
      <c r="I1581" t="s">
        <v>3877</v>
      </c>
      <c r="J1581" s="1" t="str">
        <f>HYPERLINK("https://zfin.org/ZDB-GENE-010614-1")</f>
        <v>https://zfin.org/ZDB-GENE-010614-1</v>
      </c>
      <c r="K1581" t="s">
        <v>3879</v>
      </c>
    </row>
    <row r="1582" spans="1:11" x14ac:dyDescent="0.2">
      <c r="A1582">
        <v>4.2018305432669202E-13</v>
      </c>
      <c r="B1582">
        <v>0.29532419573353902</v>
      </c>
      <c r="C1582">
        <v>0.217</v>
      </c>
      <c r="D1582">
        <v>3.1E-2</v>
      </c>
      <c r="E1582">
        <v>6.5056942301401799E-9</v>
      </c>
      <c r="F1582">
        <v>2</v>
      </c>
      <c r="G1582" t="s">
        <v>1498</v>
      </c>
      <c r="H1582" t="s">
        <v>1499</v>
      </c>
      <c r="I1582" t="s">
        <v>1498</v>
      </c>
      <c r="J1582" s="1" t="str">
        <f>HYPERLINK("https://zfin.org/ZDB-GENE-050419-126")</f>
        <v>https://zfin.org/ZDB-GENE-050419-126</v>
      </c>
      <c r="K1582" t="s">
        <v>1500</v>
      </c>
    </row>
    <row r="1583" spans="1:11" x14ac:dyDescent="0.2">
      <c r="A1583">
        <v>4.3314580619564602E-13</v>
      </c>
      <c r="B1583">
        <v>0.46027083135892499</v>
      </c>
      <c r="C1583">
        <v>0.4</v>
      </c>
      <c r="D1583">
        <v>9.6000000000000002E-2</v>
      </c>
      <c r="E1583">
        <v>6.7063965173271902E-9</v>
      </c>
      <c r="F1583">
        <v>2</v>
      </c>
      <c r="G1583" t="s">
        <v>3880</v>
      </c>
      <c r="H1583" t="s">
        <v>3881</v>
      </c>
      <c r="I1583" t="s">
        <v>3880</v>
      </c>
      <c r="J1583" s="1" t="str">
        <f>HYPERLINK("https://zfin.org/ZDB-GENE-040426-1066")</f>
        <v>https://zfin.org/ZDB-GENE-040426-1066</v>
      </c>
      <c r="K1583" t="s">
        <v>3882</v>
      </c>
    </row>
    <row r="1584" spans="1:11" x14ac:dyDescent="0.2">
      <c r="A1584">
        <v>4.6815173994379503E-13</v>
      </c>
      <c r="B1584">
        <v>0.27299343303643497</v>
      </c>
      <c r="C1584">
        <v>0.15</v>
      </c>
      <c r="D1584">
        <v>1.4999999999999999E-2</v>
      </c>
      <c r="E1584">
        <v>7.2483933895497702E-9</v>
      </c>
      <c r="F1584">
        <v>2</v>
      </c>
      <c r="G1584" t="s">
        <v>3883</v>
      </c>
      <c r="H1584" t="s">
        <v>3884</v>
      </c>
      <c r="I1584" t="s">
        <v>3883</v>
      </c>
      <c r="J1584" s="1" t="str">
        <f>HYPERLINK("https://zfin.org/ZDB-GENE-040730-1")</f>
        <v>https://zfin.org/ZDB-GENE-040730-1</v>
      </c>
      <c r="K1584" t="s">
        <v>3885</v>
      </c>
    </row>
    <row r="1585" spans="1:11" x14ac:dyDescent="0.2">
      <c r="A1585">
        <v>4.7623163401150796E-13</v>
      </c>
      <c r="B1585">
        <v>0.65364825131705995</v>
      </c>
      <c r="C1585">
        <v>0.65</v>
      </c>
      <c r="D1585">
        <v>0.24199999999999999</v>
      </c>
      <c r="E1585">
        <v>7.3734943894001698E-9</v>
      </c>
      <c r="F1585">
        <v>2</v>
      </c>
      <c r="G1585" t="s">
        <v>3886</v>
      </c>
      <c r="H1585" t="s">
        <v>3887</v>
      </c>
      <c r="I1585" t="s">
        <v>3886</v>
      </c>
      <c r="J1585" s="1" t="str">
        <f>HYPERLINK("https://zfin.org/ZDB-GENE-041114-160")</f>
        <v>https://zfin.org/ZDB-GENE-041114-160</v>
      </c>
      <c r="K1585" t="s">
        <v>3888</v>
      </c>
    </row>
    <row r="1586" spans="1:11" x14ac:dyDescent="0.2">
      <c r="A1586">
        <v>4.9495053136673004E-13</v>
      </c>
      <c r="B1586">
        <v>0.34141099397493102</v>
      </c>
      <c r="C1586">
        <v>0.23300000000000001</v>
      </c>
      <c r="D1586">
        <v>3.5999999999999997E-2</v>
      </c>
      <c r="E1586">
        <v>7.6633190771510907E-9</v>
      </c>
      <c r="F1586">
        <v>2</v>
      </c>
      <c r="G1586" t="s">
        <v>1098</v>
      </c>
      <c r="H1586" t="s">
        <v>1099</v>
      </c>
      <c r="I1586" t="s">
        <v>1098</v>
      </c>
      <c r="J1586" s="1" t="str">
        <f>HYPERLINK("https://zfin.org/ZDB-GENE-060531-130")</f>
        <v>https://zfin.org/ZDB-GENE-060531-130</v>
      </c>
      <c r="K1586" t="s">
        <v>1100</v>
      </c>
    </row>
    <row r="1587" spans="1:11" x14ac:dyDescent="0.2">
      <c r="A1587">
        <v>5.0624803331938099E-13</v>
      </c>
      <c r="B1587">
        <v>0.52477360512605098</v>
      </c>
      <c r="C1587">
        <v>0.58299999999999996</v>
      </c>
      <c r="D1587">
        <v>0.18099999999999999</v>
      </c>
      <c r="E1587">
        <v>7.83823829988397E-9</v>
      </c>
      <c r="F1587">
        <v>2</v>
      </c>
      <c r="G1587" t="s">
        <v>425</v>
      </c>
      <c r="H1587" t="s">
        <v>426</v>
      </c>
      <c r="I1587" t="s">
        <v>425</v>
      </c>
      <c r="J1587" s="1" t="str">
        <f>HYPERLINK("https://zfin.org/ZDB-GENE-041210-60")</f>
        <v>https://zfin.org/ZDB-GENE-041210-60</v>
      </c>
      <c r="K1587" t="s">
        <v>427</v>
      </c>
    </row>
    <row r="1588" spans="1:11" x14ac:dyDescent="0.2">
      <c r="A1588">
        <v>5.2039875654960596E-13</v>
      </c>
      <c r="B1588">
        <v>-1.41915869828611</v>
      </c>
      <c r="C1588">
        <v>0.23300000000000001</v>
      </c>
      <c r="D1588">
        <v>0.64600000000000002</v>
      </c>
      <c r="E1588">
        <v>8.0573339476575506E-9</v>
      </c>
      <c r="F1588">
        <v>2</v>
      </c>
      <c r="G1588" t="s">
        <v>2588</v>
      </c>
      <c r="H1588" t="s">
        <v>2589</v>
      </c>
      <c r="I1588" t="s">
        <v>2588</v>
      </c>
      <c r="J1588" s="1" t="str">
        <f>HYPERLINK("https://zfin.org/ZDB-GENE-030131-5493")</f>
        <v>https://zfin.org/ZDB-GENE-030131-5493</v>
      </c>
      <c r="K1588" t="s">
        <v>2590</v>
      </c>
    </row>
    <row r="1589" spans="1:11" x14ac:dyDescent="0.2">
      <c r="A1589">
        <v>5.8151524075697298E-13</v>
      </c>
      <c r="B1589">
        <v>0.351649388567771</v>
      </c>
      <c r="C1589">
        <v>0.23300000000000001</v>
      </c>
      <c r="D1589">
        <v>3.5999999999999997E-2</v>
      </c>
      <c r="E1589">
        <v>9.0036004726402195E-9</v>
      </c>
      <c r="F1589">
        <v>2</v>
      </c>
      <c r="G1589" t="s">
        <v>3889</v>
      </c>
      <c r="H1589" t="s">
        <v>3890</v>
      </c>
      <c r="I1589" t="s">
        <v>3889</v>
      </c>
      <c r="J1589" s="1" t="str">
        <f>HYPERLINK("https://zfin.org/ZDB-GENE-060720-44")</f>
        <v>https://zfin.org/ZDB-GENE-060720-44</v>
      </c>
      <c r="K1589" t="s">
        <v>3891</v>
      </c>
    </row>
    <row r="1590" spans="1:11" x14ac:dyDescent="0.2">
      <c r="A1590">
        <v>5.9258020901479799E-13</v>
      </c>
      <c r="B1590">
        <v>0.295944806978228</v>
      </c>
      <c r="C1590">
        <v>0.183</v>
      </c>
      <c r="D1590">
        <v>2.3E-2</v>
      </c>
      <c r="E1590">
        <v>9.1749193761761199E-9</v>
      </c>
      <c r="F1590">
        <v>2</v>
      </c>
      <c r="G1590" t="s">
        <v>3892</v>
      </c>
      <c r="H1590" t="s">
        <v>3893</v>
      </c>
      <c r="I1590" t="s">
        <v>3892</v>
      </c>
      <c r="J1590" s="1" t="str">
        <f>HYPERLINK("https://zfin.org/ZDB-GENE-081110-1")</f>
        <v>https://zfin.org/ZDB-GENE-081110-1</v>
      </c>
      <c r="K1590" t="s">
        <v>3894</v>
      </c>
    </row>
    <row r="1591" spans="1:11" x14ac:dyDescent="0.2">
      <c r="A1591">
        <v>6.4328845875419095E-13</v>
      </c>
      <c r="B1591">
        <v>-1.5342086345185999</v>
      </c>
      <c r="C1591">
        <v>0.217</v>
      </c>
      <c r="D1591">
        <v>0.65400000000000003</v>
      </c>
      <c r="E1591">
        <v>9.96003520689113E-9</v>
      </c>
      <c r="F1591">
        <v>2</v>
      </c>
      <c r="G1591" t="s">
        <v>2799</v>
      </c>
      <c r="H1591" t="s">
        <v>2800</v>
      </c>
      <c r="I1591" t="s">
        <v>2799</v>
      </c>
      <c r="J1591" s="1" t="str">
        <f>HYPERLINK("https://zfin.org/ZDB-GENE-040426-2931")</f>
        <v>https://zfin.org/ZDB-GENE-040426-2931</v>
      </c>
      <c r="K1591" t="s">
        <v>2801</v>
      </c>
    </row>
    <row r="1592" spans="1:11" x14ac:dyDescent="0.2">
      <c r="A1592">
        <v>7.0458206425804304E-13</v>
      </c>
      <c r="B1592">
        <v>-1.6017111735312499</v>
      </c>
      <c r="C1592">
        <v>0.1</v>
      </c>
      <c r="D1592">
        <v>0.57299999999999995</v>
      </c>
      <c r="E1592">
        <v>1.0909044100907301E-8</v>
      </c>
      <c r="F1592">
        <v>2</v>
      </c>
      <c r="G1592" t="s">
        <v>2210</v>
      </c>
      <c r="H1592" t="s">
        <v>2211</v>
      </c>
      <c r="I1592" t="s">
        <v>2210</v>
      </c>
      <c r="J1592" s="1" t="str">
        <f>HYPERLINK("https://zfin.org/")</f>
        <v>https://zfin.org/</v>
      </c>
    </row>
    <row r="1593" spans="1:11" x14ac:dyDescent="0.2">
      <c r="A1593">
        <v>7.3240447383140902E-13</v>
      </c>
      <c r="B1593">
        <v>0.55578230480014401</v>
      </c>
      <c r="C1593">
        <v>0.56699999999999995</v>
      </c>
      <c r="D1593">
        <v>0.18099999999999999</v>
      </c>
      <c r="E1593">
        <v>1.1339818468331701E-8</v>
      </c>
      <c r="F1593">
        <v>2</v>
      </c>
      <c r="G1593" t="s">
        <v>1618</v>
      </c>
      <c r="H1593" t="s">
        <v>1619</v>
      </c>
      <c r="I1593" t="s">
        <v>1618</v>
      </c>
      <c r="J1593" s="1" t="str">
        <f>HYPERLINK("https://zfin.org/ZDB-GENE-030711-3")</f>
        <v>https://zfin.org/ZDB-GENE-030711-3</v>
      </c>
      <c r="K1593" t="s">
        <v>1620</v>
      </c>
    </row>
    <row r="1594" spans="1:11" x14ac:dyDescent="0.2">
      <c r="A1594">
        <v>8.1572916006480403E-13</v>
      </c>
      <c r="B1594">
        <v>0.71034651395078696</v>
      </c>
      <c r="C1594">
        <v>0.55000000000000004</v>
      </c>
      <c r="D1594">
        <v>0.183</v>
      </c>
      <c r="E1594">
        <v>1.26299345852834E-8</v>
      </c>
      <c r="F1594">
        <v>2</v>
      </c>
      <c r="G1594" t="s">
        <v>3895</v>
      </c>
      <c r="H1594" t="s">
        <v>3896</v>
      </c>
      <c r="I1594" t="s">
        <v>3895</v>
      </c>
      <c r="J1594" s="1" t="str">
        <f>HYPERLINK("https://zfin.org/ZDB-GENE-030828-5")</f>
        <v>https://zfin.org/ZDB-GENE-030828-5</v>
      </c>
      <c r="K1594" t="s">
        <v>3897</v>
      </c>
    </row>
    <row r="1595" spans="1:11" x14ac:dyDescent="0.2">
      <c r="A1595">
        <v>9.1380741811482106E-13</v>
      </c>
      <c r="B1595">
        <v>0.61192691157878598</v>
      </c>
      <c r="C1595">
        <v>0.51700000000000002</v>
      </c>
      <c r="D1595">
        <v>0.16600000000000001</v>
      </c>
      <c r="E1595">
        <v>1.4148480254671801E-8</v>
      </c>
      <c r="F1595">
        <v>2</v>
      </c>
      <c r="G1595" t="s">
        <v>3898</v>
      </c>
      <c r="H1595" t="s">
        <v>3899</v>
      </c>
      <c r="I1595" t="s">
        <v>3898</v>
      </c>
      <c r="J1595" s="1" t="str">
        <f>HYPERLINK("https://zfin.org/ZDB-GENE-030131-666")</f>
        <v>https://zfin.org/ZDB-GENE-030131-666</v>
      </c>
      <c r="K1595" t="s">
        <v>3900</v>
      </c>
    </row>
    <row r="1596" spans="1:11" x14ac:dyDescent="0.2">
      <c r="A1596">
        <v>9.310766134616879E-13</v>
      </c>
      <c r="B1596">
        <v>0.79519392851042503</v>
      </c>
      <c r="C1596">
        <v>0.91700000000000004</v>
      </c>
      <c r="D1596">
        <v>0.56399999999999995</v>
      </c>
      <c r="E1596">
        <v>1.44158592062273E-8</v>
      </c>
      <c r="F1596">
        <v>2</v>
      </c>
      <c r="G1596" t="s">
        <v>2787</v>
      </c>
      <c r="H1596" t="s">
        <v>2788</v>
      </c>
      <c r="I1596" t="s">
        <v>2787</v>
      </c>
      <c r="J1596" s="1" t="str">
        <f>HYPERLINK("https://zfin.org/ZDB-GENE-040426-2534")</f>
        <v>https://zfin.org/ZDB-GENE-040426-2534</v>
      </c>
      <c r="K1596" t="s">
        <v>2789</v>
      </c>
    </row>
    <row r="1597" spans="1:11" x14ac:dyDescent="0.2">
      <c r="A1597">
        <v>9.3136035577321498E-13</v>
      </c>
      <c r="B1597">
        <v>0.89527230714893502</v>
      </c>
      <c r="C1597">
        <v>0.58299999999999996</v>
      </c>
      <c r="D1597">
        <v>0.2</v>
      </c>
      <c r="E1597">
        <v>1.44202523884367E-8</v>
      </c>
      <c r="F1597">
        <v>2</v>
      </c>
      <c r="G1597" t="s">
        <v>597</v>
      </c>
      <c r="H1597" t="s">
        <v>598</v>
      </c>
      <c r="I1597" t="s">
        <v>597</v>
      </c>
      <c r="J1597" s="1" t="str">
        <f>HYPERLINK("https://zfin.org/ZDB-GENE-030131-7540")</f>
        <v>https://zfin.org/ZDB-GENE-030131-7540</v>
      </c>
      <c r="K1597" t="s">
        <v>599</v>
      </c>
    </row>
    <row r="1598" spans="1:11" x14ac:dyDescent="0.2">
      <c r="A1598">
        <v>9.4545985527686806E-13</v>
      </c>
      <c r="B1598">
        <v>0.79037352591669596</v>
      </c>
      <c r="C1598">
        <v>0.83299999999999996</v>
      </c>
      <c r="D1598">
        <v>0.48</v>
      </c>
      <c r="E1598">
        <v>1.46385549392517E-8</v>
      </c>
      <c r="F1598">
        <v>2</v>
      </c>
      <c r="G1598" t="s">
        <v>3901</v>
      </c>
      <c r="H1598" t="s">
        <v>3902</v>
      </c>
      <c r="I1598" t="s">
        <v>3901</v>
      </c>
      <c r="J1598" s="1" t="str">
        <f>HYPERLINK("https://zfin.org/ZDB-GENE-050913-120")</f>
        <v>https://zfin.org/ZDB-GENE-050913-120</v>
      </c>
      <c r="K1598" t="s">
        <v>3903</v>
      </c>
    </row>
    <row r="1599" spans="1:11" x14ac:dyDescent="0.2">
      <c r="A1599">
        <v>9.4875942268421494E-13</v>
      </c>
      <c r="B1599">
        <v>0.29195266518916502</v>
      </c>
      <c r="C1599">
        <v>0.15</v>
      </c>
      <c r="D1599">
        <v>1.6E-2</v>
      </c>
      <c r="E1599">
        <v>1.4689642141419701E-8</v>
      </c>
      <c r="F1599">
        <v>2</v>
      </c>
      <c r="G1599" t="s">
        <v>3904</v>
      </c>
      <c r="H1599" t="s">
        <v>3905</v>
      </c>
      <c r="I1599" t="s">
        <v>3904</v>
      </c>
      <c r="J1599" s="1" t="str">
        <f>HYPERLINK("https://zfin.org/ZDB-GENE-060526-328")</f>
        <v>https://zfin.org/ZDB-GENE-060526-328</v>
      </c>
      <c r="K1599" t="s">
        <v>3906</v>
      </c>
    </row>
    <row r="1600" spans="1:11" x14ac:dyDescent="0.2">
      <c r="A1600">
        <v>9.9222604523229195E-13</v>
      </c>
      <c r="B1600">
        <v>0.26526297386449399</v>
      </c>
      <c r="C1600">
        <v>0.16700000000000001</v>
      </c>
      <c r="D1600">
        <v>1.9E-2</v>
      </c>
      <c r="E1600">
        <v>1.5362635858331599E-8</v>
      </c>
      <c r="F1600">
        <v>2</v>
      </c>
      <c r="G1600" t="s">
        <v>3907</v>
      </c>
      <c r="H1600" t="s">
        <v>3908</v>
      </c>
      <c r="I1600" t="s">
        <v>3907</v>
      </c>
      <c r="J1600" s="1" t="str">
        <f>HYPERLINK("https://zfin.org/ZDB-GENE-030131-7802")</f>
        <v>https://zfin.org/ZDB-GENE-030131-7802</v>
      </c>
      <c r="K1600" t="s">
        <v>3909</v>
      </c>
    </row>
    <row r="1601" spans="1:11" x14ac:dyDescent="0.2">
      <c r="A1601">
        <v>1.0198832515915601E-12</v>
      </c>
      <c r="B1601">
        <v>0.77136670223688097</v>
      </c>
      <c r="C1601">
        <v>0.68300000000000005</v>
      </c>
      <c r="D1601">
        <v>0.25800000000000001</v>
      </c>
      <c r="E1601">
        <v>1.5790852384392199E-8</v>
      </c>
      <c r="F1601">
        <v>2</v>
      </c>
      <c r="G1601" t="s">
        <v>3910</v>
      </c>
      <c r="H1601" t="s">
        <v>3911</v>
      </c>
      <c r="I1601" t="s">
        <v>3910</v>
      </c>
      <c r="J1601" s="1" t="str">
        <f>HYPERLINK("https://zfin.org/ZDB-GENE-040426-1004")</f>
        <v>https://zfin.org/ZDB-GENE-040426-1004</v>
      </c>
      <c r="K1601" t="s">
        <v>3912</v>
      </c>
    </row>
    <row r="1602" spans="1:11" x14ac:dyDescent="0.2">
      <c r="A1602">
        <v>1.0266573824670899E-12</v>
      </c>
      <c r="B1602">
        <v>0.37649654174152097</v>
      </c>
      <c r="C1602">
        <v>0.15</v>
      </c>
      <c r="D1602">
        <v>1.6E-2</v>
      </c>
      <c r="E1602">
        <v>1.58957362527379E-8</v>
      </c>
      <c r="F1602">
        <v>2</v>
      </c>
      <c r="G1602" t="s">
        <v>3913</v>
      </c>
      <c r="H1602" t="s">
        <v>3914</v>
      </c>
      <c r="I1602" t="s">
        <v>3913</v>
      </c>
      <c r="J1602" s="1" t="str">
        <f>HYPERLINK("https://zfin.org/ZDB-GENE-081104-480")</f>
        <v>https://zfin.org/ZDB-GENE-081104-480</v>
      </c>
      <c r="K1602" t="s">
        <v>3915</v>
      </c>
    </row>
    <row r="1603" spans="1:11" x14ac:dyDescent="0.2">
      <c r="A1603">
        <v>1.0763762625538299E-12</v>
      </c>
      <c r="B1603">
        <v>0.47437902920226399</v>
      </c>
      <c r="C1603">
        <v>0.5</v>
      </c>
      <c r="D1603">
        <v>0.14299999999999999</v>
      </c>
      <c r="E1603">
        <v>1.6665533673120899E-8</v>
      </c>
      <c r="F1603">
        <v>2</v>
      </c>
      <c r="G1603" t="s">
        <v>3916</v>
      </c>
      <c r="H1603" t="s">
        <v>3917</v>
      </c>
      <c r="I1603" t="s">
        <v>3916</v>
      </c>
      <c r="J1603" s="1" t="str">
        <f>HYPERLINK("https://zfin.org/ZDB-GENE-040625-104")</f>
        <v>https://zfin.org/ZDB-GENE-040625-104</v>
      </c>
      <c r="K1603" t="s">
        <v>3918</v>
      </c>
    </row>
    <row r="1604" spans="1:11" x14ac:dyDescent="0.2">
      <c r="A1604">
        <v>1.1304258916049299E-12</v>
      </c>
      <c r="B1604">
        <v>0.260162597029997</v>
      </c>
      <c r="C1604">
        <v>0.15</v>
      </c>
      <c r="D1604">
        <v>1.6E-2</v>
      </c>
      <c r="E1604">
        <v>1.7502384079719102E-8</v>
      </c>
      <c r="F1604">
        <v>2</v>
      </c>
      <c r="G1604" t="s">
        <v>1667</v>
      </c>
      <c r="H1604" t="s">
        <v>1668</v>
      </c>
      <c r="I1604" t="s">
        <v>1667</v>
      </c>
      <c r="J1604" s="1" t="str">
        <f>HYPERLINK("https://zfin.org/ZDB-GENE-080220-4")</f>
        <v>https://zfin.org/ZDB-GENE-080220-4</v>
      </c>
      <c r="K1604" t="s">
        <v>1669</v>
      </c>
    </row>
    <row r="1605" spans="1:11" x14ac:dyDescent="0.2">
      <c r="A1605">
        <v>1.26592423627394E-12</v>
      </c>
      <c r="B1605">
        <v>0.58735230223636203</v>
      </c>
      <c r="C1605">
        <v>0.65</v>
      </c>
      <c r="D1605">
        <v>0.23200000000000001</v>
      </c>
      <c r="E1605">
        <v>1.9600304950229401E-8</v>
      </c>
      <c r="F1605">
        <v>2</v>
      </c>
      <c r="G1605" t="s">
        <v>3919</v>
      </c>
      <c r="H1605" t="s">
        <v>3920</v>
      </c>
      <c r="I1605" t="s">
        <v>3919</v>
      </c>
      <c r="J1605" s="1" t="str">
        <f>HYPERLINK("https://zfin.org/ZDB-GENE-040718-329")</f>
        <v>https://zfin.org/ZDB-GENE-040718-329</v>
      </c>
      <c r="K1605" t="s">
        <v>3921</v>
      </c>
    </row>
    <row r="1606" spans="1:11" x14ac:dyDescent="0.2">
      <c r="A1606">
        <v>1.2954894744393899E-12</v>
      </c>
      <c r="B1606">
        <v>0.41302250363781101</v>
      </c>
      <c r="C1606">
        <v>0.13300000000000001</v>
      </c>
      <c r="D1606">
        <v>1.2E-2</v>
      </c>
      <c r="E1606">
        <v>2.0058063532744999E-8</v>
      </c>
      <c r="F1606">
        <v>2</v>
      </c>
      <c r="G1606" t="s">
        <v>3922</v>
      </c>
      <c r="H1606" t="s">
        <v>3923</v>
      </c>
      <c r="I1606" t="s">
        <v>3922</v>
      </c>
      <c r="J1606" s="1" t="str">
        <f>HYPERLINK("https://zfin.org/ZDB-GENE-080104-2")</f>
        <v>https://zfin.org/ZDB-GENE-080104-2</v>
      </c>
      <c r="K1606" t="s">
        <v>3924</v>
      </c>
    </row>
    <row r="1607" spans="1:11" x14ac:dyDescent="0.2">
      <c r="A1607">
        <v>1.42593383526341E-12</v>
      </c>
      <c r="B1607">
        <v>0.70773026337797795</v>
      </c>
      <c r="C1607">
        <v>0.71699999999999997</v>
      </c>
      <c r="D1607">
        <v>0.31900000000000001</v>
      </c>
      <c r="E1607">
        <v>2.2077733571383401E-8</v>
      </c>
      <c r="F1607">
        <v>2</v>
      </c>
      <c r="G1607" t="s">
        <v>2422</v>
      </c>
      <c r="H1607" t="s">
        <v>2423</v>
      </c>
      <c r="I1607" t="s">
        <v>2422</v>
      </c>
      <c r="J1607" s="1" t="str">
        <f>HYPERLINK("https://zfin.org/ZDB-GENE-040912-91")</f>
        <v>https://zfin.org/ZDB-GENE-040912-91</v>
      </c>
      <c r="K1607" t="s">
        <v>2424</v>
      </c>
    </row>
    <row r="1608" spans="1:11" x14ac:dyDescent="0.2">
      <c r="A1608">
        <v>1.45683763990565E-12</v>
      </c>
      <c r="B1608">
        <v>0.40102888281466997</v>
      </c>
      <c r="C1608">
        <v>0.25</v>
      </c>
      <c r="D1608">
        <v>4.3999999999999997E-2</v>
      </c>
      <c r="E1608">
        <v>2.25562171786592E-8</v>
      </c>
      <c r="F1608">
        <v>2</v>
      </c>
      <c r="G1608" t="s">
        <v>437</v>
      </c>
      <c r="H1608" t="s">
        <v>438</v>
      </c>
      <c r="I1608" t="s">
        <v>437</v>
      </c>
      <c r="J1608" s="1" t="str">
        <f>HYPERLINK("https://zfin.org/ZDB-GENE-060503-723")</f>
        <v>https://zfin.org/ZDB-GENE-060503-723</v>
      </c>
      <c r="K1608" t="s">
        <v>439</v>
      </c>
    </row>
    <row r="1609" spans="1:11" x14ac:dyDescent="0.2">
      <c r="A1609">
        <v>1.46535126750645E-12</v>
      </c>
      <c r="B1609">
        <v>0.58379498567615695</v>
      </c>
      <c r="C1609">
        <v>0.55000000000000004</v>
      </c>
      <c r="D1609">
        <v>0.17599999999999999</v>
      </c>
      <c r="E1609">
        <v>2.2688033674802401E-8</v>
      </c>
      <c r="F1609">
        <v>2</v>
      </c>
      <c r="G1609" t="s">
        <v>3925</v>
      </c>
      <c r="H1609" t="s">
        <v>3926</v>
      </c>
      <c r="I1609" t="s">
        <v>3925</v>
      </c>
      <c r="J1609" s="1" t="str">
        <f>HYPERLINK("https://zfin.org/ZDB-GENE-031002-50")</f>
        <v>https://zfin.org/ZDB-GENE-031002-50</v>
      </c>
      <c r="K1609" t="s">
        <v>3927</v>
      </c>
    </row>
    <row r="1610" spans="1:11" x14ac:dyDescent="0.2">
      <c r="A1610">
        <v>1.4912769970220199E-12</v>
      </c>
      <c r="B1610">
        <v>0.25277795018138199</v>
      </c>
      <c r="C1610">
        <v>0.16700000000000001</v>
      </c>
      <c r="D1610">
        <v>0.02</v>
      </c>
      <c r="E1610">
        <v>2.3089441744891899E-8</v>
      </c>
      <c r="F1610">
        <v>2</v>
      </c>
      <c r="G1610" t="s">
        <v>1146</v>
      </c>
      <c r="H1610" t="s">
        <v>1147</v>
      </c>
      <c r="I1610" t="s">
        <v>1146</v>
      </c>
      <c r="J1610" s="1" t="str">
        <f>HYPERLINK("https://zfin.org/ZDB-GENE-070124-2")</f>
        <v>https://zfin.org/ZDB-GENE-070124-2</v>
      </c>
      <c r="K1610" t="s">
        <v>1148</v>
      </c>
    </row>
    <row r="1611" spans="1:11" x14ac:dyDescent="0.2">
      <c r="A1611">
        <v>1.62700543912972E-12</v>
      </c>
      <c r="B1611">
        <v>0.65704573825229295</v>
      </c>
      <c r="C1611">
        <v>0.46700000000000003</v>
      </c>
      <c r="D1611">
        <v>0.14299999999999999</v>
      </c>
      <c r="E1611">
        <v>2.5190925214045401E-8</v>
      </c>
      <c r="F1611">
        <v>2</v>
      </c>
      <c r="G1611" t="s">
        <v>809</v>
      </c>
      <c r="H1611" t="s">
        <v>810</v>
      </c>
      <c r="I1611" t="s">
        <v>809</v>
      </c>
      <c r="J1611" s="1" t="str">
        <f>HYPERLINK("https://zfin.org/ZDB-GENE-040822-31")</f>
        <v>https://zfin.org/ZDB-GENE-040822-31</v>
      </c>
      <c r="K1611" t="s">
        <v>811</v>
      </c>
    </row>
    <row r="1612" spans="1:11" x14ac:dyDescent="0.2">
      <c r="A1612">
        <v>1.6759716166120199E-12</v>
      </c>
      <c r="B1612">
        <v>0.62579687475597601</v>
      </c>
      <c r="C1612">
        <v>0.58299999999999996</v>
      </c>
      <c r="D1612">
        <v>0.193</v>
      </c>
      <c r="E1612">
        <v>2.59490685400039E-8</v>
      </c>
      <c r="F1612">
        <v>2</v>
      </c>
      <c r="G1612" t="s">
        <v>3928</v>
      </c>
      <c r="H1612" t="s">
        <v>3929</v>
      </c>
      <c r="I1612" t="s">
        <v>3928</v>
      </c>
      <c r="J1612" s="1" t="str">
        <f>HYPERLINK("https://zfin.org/ZDB-GENE-050522-47")</f>
        <v>https://zfin.org/ZDB-GENE-050522-47</v>
      </c>
      <c r="K1612" t="s">
        <v>3930</v>
      </c>
    </row>
    <row r="1613" spans="1:11" x14ac:dyDescent="0.2">
      <c r="A1613">
        <v>2.1913197801929699E-12</v>
      </c>
      <c r="B1613">
        <v>0.69201508241516396</v>
      </c>
      <c r="C1613">
        <v>0.33300000000000002</v>
      </c>
      <c r="D1613">
        <v>7.2999999999999995E-2</v>
      </c>
      <c r="E1613">
        <v>3.3928204156727701E-8</v>
      </c>
      <c r="F1613">
        <v>2</v>
      </c>
      <c r="G1613" t="s">
        <v>3931</v>
      </c>
      <c r="H1613" t="s">
        <v>3932</v>
      </c>
      <c r="I1613" t="s">
        <v>3933</v>
      </c>
      <c r="J1613" s="1" t="str">
        <f>HYPERLINK("https://zfin.org/ZDB-GENE-030131-8290")</f>
        <v>https://zfin.org/ZDB-GENE-030131-8290</v>
      </c>
      <c r="K1613" t="s">
        <v>3934</v>
      </c>
    </row>
    <row r="1614" spans="1:11" x14ac:dyDescent="0.2">
      <c r="A1614">
        <v>2.3700281653909699E-12</v>
      </c>
      <c r="B1614">
        <v>0.67690260991431805</v>
      </c>
      <c r="C1614">
        <v>0.65</v>
      </c>
      <c r="D1614">
        <v>0.26400000000000001</v>
      </c>
      <c r="E1614">
        <v>3.6695146084748398E-8</v>
      </c>
      <c r="F1614">
        <v>2</v>
      </c>
      <c r="G1614" t="s">
        <v>3935</v>
      </c>
      <c r="H1614" t="s">
        <v>3936</v>
      </c>
      <c r="I1614" t="s">
        <v>3935</v>
      </c>
      <c r="J1614" s="1" t="str">
        <f>HYPERLINK("https://zfin.org/ZDB-GENE-020318-2")</f>
        <v>https://zfin.org/ZDB-GENE-020318-2</v>
      </c>
      <c r="K1614" t="s">
        <v>3937</v>
      </c>
    </row>
    <row r="1615" spans="1:11" x14ac:dyDescent="0.2">
      <c r="A1615">
        <v>2.39844924731942E-12</v>
      </c>
      <c r="B1615">
        <v>0.39228765953427502</v>
      </c>
      <c r="C1615">
        <v>0.48299999999999998</v>
      </c>
      <c r="D1615">
        <v>0.13600000000000001</v>
      </c>
      <c r="E1615">
        <v>3.7135189696246602E-8</v>
      </c>
      <c r="F1615">
        <v>2</v>
      </c>
      <c r="G1615" t="s">
        <v>3938</v>
      </c>
      <c r="H1615" t="s">
        <v>3939</v>
      </c>
      <c r="I1615" t="s">
        <v>3938</v>
      </c>
      <c r="J1615" s="1" t="str">
        <f>HYPERLINK("https://zfin.org/ZDB-GENE-040718-89")</f>
        <v>https://zfin.org/ZDB-GENE-040718-89</v>
      </c>
      <c r="K1615" t="s">
        <v>3940</v>
      </c>
    </row>
    <row r="1616" spans="1:11" x14ac:dyDescent="0.2">
      <c r="A1616">
        <v>2.4440218378956999E-12</v>
      </c>
      <c r="B1616">
        <v>0.69378323728983504</v>
      </c>
      <c r="C1616">
        <v>0.68300000000000005</v>
      </c>
      <c r="D1616">
        <v>0.28899999999999998</v>
      </c>
      <c r="E1616">
        <v>3.7840790116139103E-8</v>
      </c>
      <c r="F1616">
        <v>2</v>
      </c>
      <c r="G1616" t="s">
        <v>1802</v>
      </c>
      <c r="H1616" t="s">
        <v>1803</v>
      </c>
      <c r="I1616" t="s">
        <v>1802</v>
      </c>
      <c r="J1616" s="1" t="str">
        <f>HYPERLINK("https://zfin.org/ZDB-GENE-030131-6514")</f>
        <v>https://zfin.org/ZDB-GENE-030131-6514</v>
      </c>
      <c r="K1616" t="s">
        <v>1804</v>
      </c>
    </row>
    <row r="1617" spans="1:11" x14ac:dyDescent="0.2">
      <c r="A1617">
        <v>2.5106420741886799E-12</v>
      </c>
      <c r="B1617">
        <v>0.69403232736751697</v>
      </c>
      <c r="C1617">
        <v>0.76700000000000002</v>
      </c>
      <c r="D1617">
        <v>0.33900000000000002</v>
      </c>
      <c r="E1617">
        <v>3.8872271234663301E-8</v>
      </c>
      <c r="F1617">
        <v>2</v>
      </c>
      <c r="G1617" t="s">
        <v>3941</v>
      </c>
      <c r="H1617" t="s">
        <v>3942</v>
      </c>
      <c r="I1617" t="s">
        <v>3941</v>
      </c>
      <c r="J1617" s="1" t="str">
        <f>HYPERLINK("https://zfin.org/ZDB-GENE-030131-6547")</f>
        <v>https://zfin.org/ZDB-GENE-030131-6547</v>
      </c>
      <c r="K1617" t="s">
        <v>3943</v>
      </c>
    </row>
    <row r="1618" spans="1:11" x14ac:dyDescent="0.2">
      <c r="A1618">
        <v>2.8051889516162801E-12</v>
      </c>
      <c r="B1618">
        <v>0.42580068089485801</v>
      </c>
      <c r="C1618">
        <v>0.33300000000000002</v>
      </c>
      <c r="D1618">
        <v>7.5999999999999998E-2</v>
      </c>
      <c r="E1618">
        <v>4.34327405378749E-8</v>
      </c>
      <c r="F1618">
        <v>2</v>
      </c>
      <c r="G1618" t="s">
        <v>1709</v>
      </c>
      <c r="H1618" t="s">
        <v>1710</v>
      </c>
      <c r="I1618" t="s">
        <v>1709</v>
      </c>
      <c r="J1618" s="1" t="str">
        <f>HYPERLINK("https://zfin.org/ZDB-GENE-040426-2380")</f>
        <v>https://zfin.org/ZDB-GENE-040426-2380</v>
      </c>
      <c r="K1618" t="s">
        <v>1711</v>
      </c>
    </row>
    <row r="1619" spans="1:11" x14ac:dyDescent="0.2">
      <c r="A1619">
        <v>2.82464701228939E-12</v>
      </c>
      <c r="B1619">
        <v>0.51555475286016195</v>
      </c>
      <c r="C1619">
        <v>0.3</v>
      </c>
      <c r="D1619">
        <v>6.4000000000000001E-2</v>
      </c>
      <c r="E1619">
        <v>4.3734009691276697E-8</v>
      </c>
      <c r="F1619">
        <v>2</v>
      </c>
      <c r="G1619" t="s">
        <v>1074</v>
      </c>
      <c r="H1619" t="s">
        <v>1075</v>
      </c>
      <c r="I1619" t="s">
        <v>1074</v>
      </c>
      <c r="J1619" s="1" t="str">
        <f>HYPERLINK("https://zfin.org/ZDB-GENE-040718-280")</f>
        <v>https://zfin.org/ZDB-GENE-040718-280</v>
      </c>
      <c r="K1619" t="s">
        <v>1076</v>
      </c>
    </row>
    <row r="1620" spans="1:11" x14ac:dyDescent="0.2">
      <c r="A1620">
        <v>2.8280348764966799E-12</v>
      </c>
      <c r="B1620">
        <v>0.49027823740360699</v>
      </c>
      <c r="C1620">
        <v>0.36699999999999999</v>
      </c>
      <c r="D1620">
        <v>8.5999999999999993E-2</v>
      </c>
      <c r="E1620">
        <v>4.3786463992798097E-8</v>
      </c>
      <c r="F1620">
        <v>2</v>
      </c>
      <c r="G1620" t="s">
        <v>3944</v>
      </c>
      <c r="H1620" t="s">
        <v>3945</v>
      </c>
      <c r="I1620" t="s">
        <v>3944</v>
      </c>
      <c r="J1620" s="1" t="str">
        <f>HYPERLINK("https://zfin.org/ZDB-GENE-021030-3")</f>
        <v>https://zfin.org/ZDB-GENE-021030-3</v>
      </c>
      <c r="K1620" t="s">
        <v>3946</v>
      </c>
    </row>
    <row r="1621" spans="1:11" x14ac:dyDescent="0.2">
      <c r="A1621">
        <v>2.8658704999669298E-12</v>
      </c>
      <c r="B1621">
        <v>0.26218022292293203</v>
      </c>
      <c r="C1621">
        <v>0.15</v>
      </c>
      <c r="D1621">
        <v>1.6E-2</v>
      </c>
      <c r="E1621">
        <v>4.4372272950988E-8</v>
      </c>
      <c r="F1621">
        <v>2</v>
      </c>
      <c r="G1621" t="s">
        <v>1387</v>
      </c>
      <c r="H1621" t="s">
        <v>1388</v>
      </c>
      <c r="I1621" t="s">
        <v>1387</v>
      </c>
      <c r="J1621" s="1" t="str">
        <f>HYPERLINK("https://zfin.org/ZDB-GENE-141216-459")</f>
        <v>https://zfin.org/ZDB-GENE-141216-459</v>
      </c>
      <c r="K1621" t="s">
        <v>1389</v>
      </c>
    </row>
    <row r="1622" spans="1:11" x14ac:dyDescent="0.2">
      <c r="A1622">
        <v>2.8957017420366398E-12</v>
      </c>
      <c r="B1622">
        <v>0.49654087192629298</v>
      </c>
      <c r="C1622">
        <v>0.38300000000000001</v>
      </c>
      <c r="D1622">
        <v>9.6000000000000002E-2</v>
      </c>
      <c r="E1622">
        <v>4.4834150071953303E-8</v>
      </c>
      <c r="F1622">
        <v>2</v>
      </c>
      <c r="G1622" t="s">
        <v>3947</v>
      </c>
      <c r="H1622" t="s">
        <v>3948</v>
      </c>
      <c r="I1622" t="s">
        <v>3947</v>
      </c>
      <c r="J1622" s="1" t="str">
        <f>HYPERLINK("https://zfin.org/ZDB-GENE-040704-75")</f>
        <v>https://zfin.org/ZDB-GENE-040704-75</v>
      </c>
      <c r="K1622" t="s">
        <v>3949</v>
      </c>
    </row>
    <row r="1623" spans="1:11" x14ac:dyDescent="0.2">
      <c r="A1623">
        <v>3.3362835551106498E-12</v>
      </c>
      <c r="B1623">
        <v>0.38675009972257302</v>
      </c>
      <c r="C1623">
        <v>0.33300000000000002</v>
      </c>
      <c r="D1623">
        <v>7.2999999999999995E-2</v>
      </c>
      <c r="E1623">
        <v>5.1655678283778199E-8</v>
      </c>
      <c r="F1623">
        <v>2</v>
      </c>
      <c r="G1623" t="s">
        <v>3950</v>
      </c>
      <c r="H1623" t="s">
        <v>3951</v>
      </c>
      <c r="I1623" t="s">
        <v>3950</v>
      </c>
      <c r="J1623" s="1" t="str">
        <f>HYPERLINK("https://zfin.org/ZDB-GENE-040426-1024")</f>
        <v>https://zfin.org/ZDB-GENE-040426-1024</v>
      </c>
      <c r="K1623" t="s">
        <v>3952</v>
      </c>
    </row>
    <row r="1624" spans="1:11" x14ac:dyDescent="0.2">
      <c r="A1624">
        <v>3.4579747831808102E-12</v>
      </c>
      <c r="B1624">
        <v>0.38546412946706199</v>
      </c>
      <c r="C1624">
        <v>0.28299999999999997</v>
      </c>
      <c r="D1624">
        <v>5.6000000000000001E-2</v>
      </c>
      <c r="E1624">
        <v>5.35398235679884E-8</v>
      </c>
      <c r="F1624">
        <v>2</v>
      </c>
      <c r="G1624" t="s">
        <v>1288</v>
      </c>
      <c r="H1624" t="s">
        <v>1289</v>
      </c>
      <c r="I1624" t="s">
        <v>1288</v>
      </c>
      <c r="J1624" s="1" t="str">
        <f>HYPERLINK("https://zfin.org/ZDB-GENE-040426-1943")</f>
        <v>https://zfin.org/ZDB-GENE-040426-1943</v>
      </c>
      <c r="K1624" t="s">
        <v>1290</v>
      </c>
    </row>
    <row r="1625" spans="1:11" x14ac:dyDescent="0.2">
      <c r="A1625">
        <v>3.51052262744083E-12</v>
      </c>
      <c r="B1625">
        <v>0.72215940001968404</v>
      </c>
      <c r="C1625">
        <v>0.73299999999999998</v>
      </c>
      <c r="D1625">
        <v>0.32700000000000001</v>
      </c>
      <c r="E1625">
        <v>5.4353421840666398E-8</v>
      </c>
      <c r="F1625">
        <v>2</v>
      </c>
      <c r="G1625" t="s">
        <v>3953</v>
      </c>
      <c r="H1625" t="s">
        <v>3954</v>
      </c>
      <c r="I1625" t="s">
        <v>3953</v>
      </c>
      <c r="J1625" s="1" t="str">
        <f>HYPERLINK("https://zfin.org/ZDB-GENE-030131-5541")</f>
        <v>https://zfin.org/ZDB-GENE-030131-5541</v>
      </c>
      <c r="K1625" t="s">
        <v>3955</v>
      </c>
    </row>
    <row r="1626" spans="1:11" x14ac:dyDescent="0.2">
      <c r="A1626">
        <v>3.7907818233314002E-12</v>
      </c>
      <c r="B1626">
        <v>0.52458110499923205</v>
      </c>
      <c r="C1626">
        <v>0.45</v>
      </c>
      <c r="D1626">
        <v>0.128</v>
      </c>
      <c r="E1626">
        <v>5.8692674970640098E-8</v>
      </c>
      <c r="F1626">
        <v>2</v>
      </c>
      <c r="G1626" t="s">
        <v>3956</v>
      </c>
      <c r="H1626" t="s">
        <v>3957</v>
      </c>
      <c r="I1626" t="s">
        <v>3956</v>
      </c>
      <c r="J1626" s="1" t="str">
        <f>HYPERLINK("https://zfin.org/ZDB-GENE-040426-1669")</f>
        <v>https://zfin.org/ZDB-GENE-040426-1669</v>
      </c>
      <c r="K1626" t="s">
        <v>3958</v>
      </c>
    </row>
    <row r="1627" spans="1:11" x14ac:dyDescent="0.2">
      <c r="A1627">
        <v>3.8116315571425803E-12</v>
      </c>
      <c r="B1627">
        <v>0.47370044723047899</v>
      </c>
      <c r="C1627">
        <v>0.45</v>
      </c>
      <c r="D1627">
        <v>0.127</v>
      </c>
      <c r="E1627">
        <v>5.9015491399238601E-8</v>
      </c>
      <c r="F1627">
        <v>2</v>
      </c>
      <c r="G1627" t="s">
        <v>2398</v>
      </c>
      <c r="H1627" t="s">
        <v>2399</v>
      </c>
      <c r="I1627" t="s">
        <v>2398</v>
      </c>
      <c r="J1627" s="1" t="str">
        <f>HYPERLINK("https://zfin.org/ZDB-GENE-030826-29")</f>
        <v>https://zfin.org/ZDB-GENE-030826-29</v>
      </c>
      <c r="K1627" t="s">
        <v>2400</v>
      </c>
    </row>
    <row r="1628" spans="1:11" x14ac:dyDescent="0.2">
      <c r="A1628">
        <v>3.9731051235986303E-12</v>
      </c>
      <c r="B1628">
        <v>0.52172891067947502</v>
      </c>
      <c r="C1628">
        <v>0.35</v>
      </c>
      <c r="D1628">
        <v>8.3000000000000004E-2</v>
      </c>
      <c r="E1628">
        <v>6.1515586628677594E-8</v>
      </c>
      <c r="F1628">
        <v>2</v>
      </c>
      <c r="G1628" t="s">
        <v>869</v>
      </c>
      <c r="H1628" t="s">
        <v>870</v>
      </c>
      <c r="I1628" t="s">
        <v>869</v>
      </c>
      <c r="J1628" s="1" t="str">
        <f>HYPERLINK("https://zfin.org/ZDB-GENE-000210-35")</f>
        <v>https://zfin.org/ZDB-GENE-000210-35</v>
      </c>
      <c r="K1628" t="s">
        <v>871</v>
      </c>
    </row>
    <row r="1629" spans="1:11" x14ac:dyDescent="0.2">
      <c r="A1629">
        <v>3.9915103961227299E-12</v>
      </c>
      <c r="B1629">
        <v>0.40296334298049602</v>
      </c>
      <c r="C1629">
        <v>0.217</v>
      </c>
      <c r="D1629">
        <v>3.4000000000000002E-2</v>
      </c>
      <c r="E1629">
        <v>6.1800555463168295E-8</v>
      </c>
      <c r="F1629">
        <v>2</v>
      </c>
      <c r="G1629" t="s">
        <v>3959</v>
      </c>
      <c r="H1629" t="s">
        <v>3960</v>
      </c>
      <c r="I1629" t="s">
        <v>3959</v>
      </c>
      <c r="J1629" s="1" t="str">
        <f>HYPERLINK("https://zfin.org/ZDB-GENE-040912-74")</f>
        <v>https://zfin.org/ZDB-GENE-040912-74</v>
      </c>
      <c r="K1629" t="s">
        <v>3961</v>
      </c>
    </row>
    <row r="1630" spans="1:11" x14ac:dyDescent="0.2">
      <c r="A1630">
        <v>4.1585218896244399E-12</v>
      </c>
      <c r="B1630">
        <v>0.29015354128413101</v>
      </c>
      <c r="C1630">
        <v>0.13300000000000001</v>
      </c>
      <c r="D1630">
        <v>1.2999999999999999E-2</v>
      </c>
      <c r="E1630">
        <v>6.4386394417055099E-8</v>
      </c>
      <c r="F1630">
        <v>2</v>
      </c>
      <c r="G1630" t="s">
        <v>3962</v>
      </c>
      <c r="H1630" t="s">
        <v>3963</v>
      </c>
      <c r="I1630" t="s">
        <v>3962</v>
      </c>
      <c r="J1630" s="1" t="str">
        <f>HYPERLINK("https://zfin.org/ZDB-GENE-140515-2")</f>
        <v>https://zfin.org/ZDB-GENE-140515-2</v>
      </c>
      <c r="K1630" t="s">
        <v>3964</v>
      </c>
    </row>
    <row r="1631" spans="1:11" x14ac:dyDescent="0.2">
      <c r="A1631">
        <v>4.1641971242862598E-12</v>
      </c>
      <c r="B1631">
        <v>0.48531358365603899</v>
      </c>
      <c r="C1631">
        <v>0.317</v>
      </c>
      <c r="D1631">
        <v>7.0000000000000007E-2</v>
      </c>
      <c r="E1631">
        <v>6.4474264075324102E-8</v>
      </c>
      <c r="F1631">
        <v>2</v>
      </c>
      <c r="G1631" t="s">
        <v>3965</v>
      </c>
      <c r="H1631" t="s">
        <v>3966</v>
      </c>
      <c r="I1631" t="s">
        <v>3965</v>
      </c>
      <c r="J1631" s="1" t="str">
        <f>HYPERLINK("https://zfin.org/ZDB-GENE-030131-5923")</f>
        <v>https://zfin.org/ZDB-GENE-030131-5923</v>
      </c>
      <c r="K1631" t="s">
        <v>3967</v>
      </c>
    </row>
    <row r="1632" spans="1:11" x14ac:dyDescent="0.2">
      <c r="A1632">
        <v>4.1830851054921999E-12</v>
      </c>
      <c r="B1632">
        <v>0.33527026416773897</v>
      </c>
      <c r="C1632">
        <v>0.2</v>
      </c>
      <c r="D1632">
        <v>2.9000000000000001E-2</v>
      </c>
      <c r="E1632">
        <v>6.4766706688335706E-8</v>
      </c>
      <c r="F1632">
        <v>2</v>
      </c>
      <c r="G1632" t="s">
        <v>1766</v>
      </c>
      <c r="H1632" t="s">
        <v>1767</v>
      </c>
      <c r="I1632" t="s">
        <v>1766</v>
      </c>
      <c r="J1632" s="1" t="str">
        <f>HYPERLINK("https://zfin.org/ZDB-GENE-100921-1")</f>
        <v>https://zfin.org/ZDB-GENE-100921-1</v>
      </c>
      <c r="K1632" t="s">
        <v>1768</v>
      </c>
    </row>
    <row r="1633" spans="1:11" x14ac:dyDescent="0.2">
      <c r="A1633">
        <v>4.5200775279562099E-12</v>
      </c>
      <c r="B1633">
        <v>0.52204396732314695</v>
      </c>
      <c r="C1633">
        <v>0.13300000000000001</v>
      </c>
      <c r="D1633">
        <v>1.2999999999999999E-2</v>
      </c>
      <c r="E1633">
        <v>6.9984360365346005E-8</v>
      </c>
      <c r="F1633">
        <v>2</v>
      </c>
      <c r="G1633" t="s">
        <v>3968</v>
      </c>
      <c r="H1633" t="s">
        <v>3969</v>
      </c>
      <c r="I1633" t="s">
        <v>3968</v>
      </c>
      <c r="J1633" s="1" t="str">
        <f>HYPERLINK("https://zfin.org/ZDB-GENE-060503-130")</f>
        <v>https://zfin.org/ZDB-GENE-060503-130</v>
      </c>
      <c r="K1633" t="s">
        <v>3970</v>
      </c>
    </row>
    <row r="1634" spans="1:11" x14ac:dyDescent="0.2">
      <c r="A1634">
        <v>4.6933867235061504E-12</v>
      </c>
      <c r="B1634">
        <v>0.27581890367991502</v>
      </c>
      <c r="C1634">
        <v>0.3</v>
      </c>
      <c r="D1634">
        <v>6.0999999999999999E-2</v>
      </c>
      <c r="E1634">
        <v>7.26677066400458E-8</v>
      </c>
      <c r="F1634">
        <v>2</v>
      </c>
      <c r="G1634" t="s">
        <v>1895</v>
      </c>
      <c r="H1634" t="s">
        <v>1896</v>
      </c>
      <c r="I1634" t="s">
        <v>1895</v>
      </c>
      <c r="J1634" s="1" t="str">
        <f>HYPERLINK("https://zfin.org/ZDB-GENE-040801-2")</f>
        <v>https://zfin.org/ZDB-GENE-040801-2</v>
      </c>
      <c r="K1634" t="s">
        <v>1897</v>
      </c>
    </row>
    <row r="1635" spans="1:11" x14ac:dyDescent="0.2">
      <c r="A1635">
        <v>4.8748724470181302E-12</v>
      </c>
      <c r="B1635">
        <v>0.70512070505115698</v>
      </c>
      <c r="C1635">
        <v>0.51700000000000002</v>
      </c>
      <c r="D1635">
        <v>0.17699999999999999</v>
      </c>
      <c r="E1635">
        <v>7.5477650097181702E-8</v>
      </c>
      <c r="F1635">
        <v>2</v>
      </c>
      <c r="G1635" t="s">
        <v>3971</v>
      </c>
      <c r="H1635" t="s">
        <v>3972</v>
      </c>
      <c r="I1635" t="s">
        <v>3971</v>
      </c>
      <c r="J1635" s="1" t="str">
        <f>HYPERLINK("https://zfin.org/ZDB-GENE-040426-2043")</f>
        <v>https://zfin.org/ZDB-GENE-040426-2043</v>
      </c>
      <c r="K1635" t="s">
        <v>3973</v>
      </c>
    </row>
    <row r="1636" spans="1:11" x14ac:dyDescent="0.2">
      <c r="A1636">
        <v>4.8916688628408102E-12</v>
      </c>
      <c r="B1636">
        <v>-0.90783287714502603</v>
      </c>
      <c r="C1636">
        <v>0.6</v>
      </c>
      <c r="D1636">
        <v>0.81699999999999995</v>
      </c>
      <c r="E1636">
        <v>7.5737709003364299E-8</v>
      </c>
      <c r="F1636">
        <v>2</v>
      </c>
      <c r="G1636" t="s">
        <v>2299</v>
      </c>
      <c r="H1636" t="s">
        <v>2300</v>
      </c>
      <c r="I1636" t="s">
        <v>2299</v>
      </c>
      <c r="J1636" s="1" t="str">
        <f>HYPERLINK("https://zfin.org/ZDB-GENE-030410-4")</f>
        <v>https://zfin.org/ZDB-GENE-030410-4</v>
      </c>
      <c r="K1636" t="s">
        <v>2301</v>
      </c>
    </row>
    <row r="1637" spans="1:11" x14ac:dyDescent="0.2">
      <c r="A1637">
        <v>5.2835449349720601E-12</v>
      </c>
      <c r="B1637">
        <v>0.453029626550432</v>
      </c>
      <c r="C1637">
        <v>0.183</v>
      </c>
      <c r="D1637">
        <v>2.5000000000000001E-2</v>
      </c>
      <c r="E1637">
        <v>8.1805126228172495E-8</v>
      </c>
      <c r="F1637">
        <v>2</v>
      </c>
      <c r="G1637" t="s">
        <v>2051</v>
      </c>
      <c r="H1637" t="s">
        <v>2052</v>
      </c>
      <c r="I1637" t="s">
        <v>2051</v>
      </c>
      <c r="J1637" s="1" t="str">
        <f>HYPERLINK("https://zfin.org/ZDB-GENE-110331-1")</f>
        <v>https://zfin.org/ZDB-GENE-110331-1</v>
      </c>
      <c r="K1637" t="s">
        <v>2053</v>
      </c>
    </row>
    <row r="1638" spans="1:11" x14ac:dyDescent="0.2">
      <c r="A1638">
        <v>5.6476252309939699E-12</v>
      </c>
      <c r="B1638">
        <v>-1.2566686683272099</v>
      </c>
      <c r="C1638">
        <v>0.3</v>
      </c>
      <c r="D1638">
        <v>0.65800000000000003</v>
      </c>
      <c r="E1638">
        <v>8.7442181451479696E-8</v>
      </c>
      <c r="F1638">
        <v>2</v>
      </c>
      <c r="G1638" t="s">
        <v>2657</v>
      </c>
      <c r="H1638" t="s">
        <v>2658</v>
      </c>
      <c r="I1638" t="s">
        <v>2657</v>
      </c>
      <c r="J1638" s="1" t="str">
        <f>HYPERLINK("https://zfin.org/ZDB-GENE-000208-17")</f>
        <v>https://zfin.org/ZDB-GENE-000208-17</v>
      </c>
      <c r="K1638" t="s">
        <v>2659</v>
      </c>
    </row>
    <row r="1639" spans="1:11" x14ac:dyDescent="0.2">
      <c r="A1639">
        <v>5.7640489957342604E-12</v>
      </c>
      <c r="B1639">
        <v>0.512479293285802</v>
      </c>
      <c r="C1639">
        <v>0.61699999999999999</v>
      </c>
      <c r="D1639">
        <v>0.222</v>
      </c>
      <c r="E1639">
        <v>8.9244770600953599E-8</v>
      </c>
      <c r="F1639">
        <v>2</v>
      </c>
      <c r="G1639" t="s">
        <v>2781</v>
      </c>
      <c r="H1639" t="s">
        <v>2782</v>
      </c>
      <c r="I1639" t="s">
        <v>2781</v>
      </c>
      <c r="J1639" s="1" t="str">
        <f>HYPERLINK("https://zfin.org/ZDB-GENE-030131-2365")</f>
        <v>https://zfin.org/ZDB-GENE-030131-2365</v>
      </c>
      <c r="K1639" t="s">
        <v>2783</v>
      </c>
    </row>
    <row r="1640" spans="1:11" x14ac:dyDescent="0.2">
      <c r="A1640">
        <v>5.8273804908454096E-12</v>
      </c>
      <c r="B1640">
        <v>0.60655436429282805</v>
      </c>
      <c r="C1640">
        <v>0.61699999999999999</v>
      </c>
      <c r="D1640">
        <v>0.222</v>
      </c>
      <c r="E1640">
        <v>9.0225332139759499E-8</v>
      </c>
      <c r="F1640">
        <v>2</v>
      </c>
      <c r="G1640" t="s">
        <v>2497</v>
      </c>
      <c r="H1640" t="s">
        <v>2498</v>
      </c>
      <c r="I1640" t="s">
        <v>2497</v>
      </c>
      <c r="J1640" s="1" t="str">
        <f>HYPERLINK("https://zfin.org/ZDB-GENE-040426-2200")</f>
        <v>https://zfin.org/ZDB-GENE-040426-2200</v>
      </c>
      <c r="K1640" t="s">
        <v>2499</v>
      </c>
    </row>
    <row r="1641" spans="1:11" x14ac:dyDescent="0.2">
      <c r="A1641">
        <v>5.9597724862524804E-12</v>
      </c>
      <c r="B1641">
        <v>0.72986404452770004</v>
      </c>
      <c r="C1641">
        <v>0.76700000000000002</v>
      </c>
      <c r="D1641">
        <v>0.34899999999999998</v>
      </c>
      <c r="E1641">
        <v>9.2275157404647198E-8</v>
      </c>
      <c r="F1641">
        <v>2</v>
      </c>
      <c r="G1641" t="s">
        <v>3974</v>
      </c>
      <c r="H1641" t="s">
        <v>3975</v>
      </c>
      <c r="I1641" t="s">
        <v>3974</v>
      </c>
      <c r="J1641" s="1" t="str">
        <f>HYPERLINK("https://zfin.org/ZDB-GENE-040426-989")</f>
        <v>https://zfin.org/ZDB-GENE-040426-989</v>
      </c>
      <c r="K1641" t="s">
        <v>3976</v>
      </c>
    </row>
    <row r="1642" spans="1:11" x14ac:dyDescent="0.2">
      <c r="A1642">
        <v>6.0730185446283504E-12</v>
      </c>
      <c r="B1642">
        <v>0.44637693563110498</v>
      </c>
      <c r="C1642">
        <v>0.3</v>
      </c>
      <c r="D1642">
        <v>6.3E-2</v>
      </c>
      <c r="E1642">
        <v>9.4028546126480702E-8</v>
      </c>
      <c r="F1642">
        <v>2</v>
      </c>
      <c r="G1642" t="s">
        <v>570</v>
      </c>
      <c r="H1642" t="s">
        <v>571</v>
      </c>
      <c r="I1642" t="s">
        <v>570</v>
      </c>
      <c r="J1642" s="1" t="str">
        <f>HYPERLINK("https://zfin.org/ZDB-GENE-050417-212")</f>
        <v>https://zfin.org/ZDB-GENE-050417-212</v>
      </c>
      <c r="K1642" t="s">
        <v>572</v>
      </c>
    </row>
    <row r="1643" spans="1:11" x14ac:dyDescent="0.2">
      <c r="A1643">
        <v>6.41744156780405E-12</v>
      </c>
      <c r="B1643">
        <v>0.40961068465224498</v>
      </c>
      <c r="C1643">
        <v>0.46700000000000003</v>
      </c>
      <c r="D1643">
        <v>0.13</v>
      </c>
      <c r="E1643">
        <v>9.9361247794310197E-8</v>
      </c>
      <c r="F1643">
        <v>2</v>
      </c>
      <c r="G1643" t="s">
        <v>3977</v>
      </c>
      <c r="H1643" t="s">
        <v>3978</v>
      </c>
      <c r="I1643" t="s">
        <v>3977</v>
      </c>
      <c r="J1643" s="1" t="str">
        <f>HYPERLINK("https://zfin.org/ZDB-GENE-061207-34")</f>
        <v>https://zfin.org/ZDB-GENE-061207-34</v>
      </c>
      <c r="K1643" t="s">
        <v>3979</v>
      </c>
    </row>
    <row r="1644" spans="1:11" x14ac:dyDescent="0.2">
      <c r="A1644">
        <v>6.5129441694384797E-12</v>
      </c>
      <c r="B1644">
        <v>0.30939526213194102</v>
      </c>
      <c r="C1644">
        <v>0.28299999999999997</v>
      </c>
      <c r="D1644">
        <v>5.6000000000000001E-2</v>
      </c>
      <c r="E1644">
        <v>1.00839914575416E-7</v>
      </c>
      <c r="F1644">
        <v>2</v>
      </c>
      <c r="G1644" t="s">
        <v>3980</v>
      </c>
      <c r="H1644" t="s">
        <v>3981</v>
      </c>
      <c r="I1644" t="s">
        <v>3980</v>
      </c>
      <c r="J1644" s="1" t="str">
        <f>HYPERLINK("https://zfin.org/ZDB-GENE-060503-464")</f>
        <v>https://zfin.org/ZDB-GENE-060503-464</v>
      </c>
      <c r="K1644" t="s">
        <v>3982</v>
      </c>
    </row>
    <row r="1645" spans="1:11" x14ac:dyDescent="0.2">
      <c r="A1645">
        <v>6.6311055498536002E-12</v>
      </c>
      <c r="B1645">
        <v>-1.11564310133737</v>
      </c>
      <c r="C1645">
        <v>0.48299999999999998</v>
      </c>
      <c r="D1645">
        <v>0.75800000000000001</v>
      </c>
      <c r="E1645">
        <v>1.02669407228383E-7</v>
      </c>
      <c r="F1645">
        <v>2</v>
      </c>
      <c r="G1645" t="s">
        <v>2482</v>
      </c>
      <c r="H1645" t="s">
        <v>2483</v>
      </c>
      <c r="I1645" t="s">
        <v>2482</v>
      </c>
      <c r="J1645" s="1" t="str">
        <f>HYPERLINK("https://zfin.org/ZDB-GENE-030826-15")</f>
        <v>https://zfin.org/ZDB-GENE-030826-15</v>
      </c>
      <c r="K1645" t="s">
        <v>2484</v>
      </c>
    </row>
    <row r="1646" spans="1:11" x14ac:dyDescent="0.2">
      <c r="A1646">
        <v>7.3535152965268197E-12</v>
      </c>
      <c r="B1646">
        <v>0.26310895839932102</v>
      </c>
      <c r="C1646">
        <v>0.217</v>
      </c>
      <c r="D1646">
        <v>3.4000000000000002E-2</v>
      </c>
      <c r="E1646">
        <v>1.1385447733612501E-7</v>
      </c>
      <c r="F1646">
        <v>2</v>
      </c>
      <c r="G1646" t="s">
        <v>3983</v>
      </c>
      <c r="H1646" t="s">
        <v>3984</v>
      </c>
      <c r="I1646" t="s">
        <v>3983</v>
      </c>
      <c r="J1646" s="1" t="str">
        <f>HYPERLINK("https://zfin.org/ZDB-GENE-090313-168")</f>
        <v>https://zfin.org/ZDB-GENE-090313-168</v>
      </c>
      <c r="K1646" t="s">
        <v>3985</v>
      </c>
    </row>
    <row r="1647" spans="1:11" x14ac:dyDescent="0.2">
      <c r="A1647">
        <v>7.6902740465527002E-12</v>
      </c>
      <c r="B1647">
        <v>0.655053189972718</v>
      </c>
      <c r="C1647">
        <v>0.86699999999999999</v>
      </c>
      <c r="D1647">
        <v>0.57399999999999995</v>
      </c>
      <c r="E1647">
        <v>1.19068513062775E-7</v>
      </c>
      <c r="F1647">
        <v>2</v>
      </c>
      <c r="G1647" t="s">
        <v>3986</v>
      </c>
      <c r="H1647" t="s">
        <v>3987</v>
      </c>
      <c r="I1647" t="s">
        <v>3986</v>
      </c>
      <c r="J1647" s="1" t="str">
        <f>HYPERLINK("https://zfin.org/ZDB-GENE-030131-7782")</f>
        <v>https://zfin.org/ZDB-GENE-030131-7782</v>
      </c>
      <c r="K1647" t="s">
        <v>3988</v>
      </c>
    </row>
    <row r="1648" spans="1:11" x14ac:dyDescent="0.2">
      <c r="A1648">
        <v>8.5766746334178002E-12</v>
      </c>
      <c r="B1648">
        <v>0.50482962971765399</v>
      </c>
      <c r="C1648">
        <v>0.4</v>
      </c>
      <c r="D1648">
        <v>0.107</v>
      </c>
      <c r="E1648">
        <v>1.32792653349208E-7</v>
      </c>
      <c r="F1648">
        <v>2</v>
      </c>
      <c r="G1648" t="s">
        <v>3989</v>
      </c>
      <c r="H1648" t="s">
        <v>3990</v>
      </c>
      <c r="I1648" t="s">
        <v>3989</v>
      </c>
      <c r="J1648" s="1" t="str">
        <f>HYPERLINK("https://zfin.org/ZDB-GENE-040625-15")</f>
        <v>https://zfin.org/ZDB-GENE-040625-15</v>
      </c>
      <c r="K1648" t="s">
        <v>3991</v>
      </c>
    </row>
    <row r="1649" spans="1:11" x14ac:dyDescent="0.2">
      <c r="A1649">
        <v>8.8579286477615204E-12</v>
      </c>
      <c r="B1649">
        <v>0.46948093593935403</v>
      </c>
      <c r="C1649">
        <v>0.46700000000000003</v>
      </c>
      <c r="D1649">
        <v>0.13800000000000001</v>
      </c>
      <c r="E1649">
        <v>1.3714730925329201E-7</v>
      </c>
      <c r="F1649">
        <v>2</v>
      </c>
      <c r="G1649" t="s">
        <v>3992</v>
      </c>
      <c r="H1649" t="s">
        <v>3993</v>
      </c>
      <c r="I1649" t="s">
        <v>3992</v>
      </c>
      <c r="J1649" s="1" t="str">
        <f>HYPERLINK("https://zfin.org/ZDB-GENE-040426-693")</f>
        <v>https://zfin.org/ZDB-GENE-040426-693</v>
      </c>
      <c r="K1649" t="s">
        <v>3994</v>
      </c>
    </row>
    <row r="1650" spans="1:11" x14ac:dyDescent="0.2">
      <c r="A1650">
        <v>8.9893539020290204E-12</v>
      </c>
      <c r="B1650">
        <v>0.37652267155567298</v>
      </c>
      <c r="C1650">
        <v>0.2</v>
      </c>
      <c r="D1650">
        <v>3.1E-2</v>
      </c>
      <c r="E1650">
        <v>1.39182166465115E-7</v>
      </c>
      <c r="F1650">
        <v>2</v>
      </c>
      <c r="G1650" t="s">
        <v>1414</v>
      </c>
      <c r="H1650" t="s">
        <v>1415</v>
      </c>
      <c r="I1650" t="s">
        <v>1414</v>
      </c>
      <c r="J1650" s="1" t="str">
        <f>HYPERLINK("https://zfin.org/")</f>
        <v>https://zfin.org/</v>
      </c>
      <c r="K1650" t="s">
        <v>1416</v>
      </c>
    </row>
    <row r="1651" spans="1:11" x14ac:dyDescent="0.2">
      <c r="A1651">
        <v>8.9922985364730701E-12</v>
      </c>
      <c r="B1651">
        <v>0.664842911774844</v>
      </c>
      <c r="C1651">
        <v>0.81699999999999995</v>
      </c>
      <c r="D1651">
        <v>0.433</v>
      </c>
      <c r="E1651">
        <v>1.3922775824021299E-7</v>
      </c>
      <c r="F1651">
        <v>2</v>
      </c>
      <c r="G1651" t="s">
        <v>3995</v>
      </c>
      <c r="H1651" t="s">
        <v>3996</v>
      </c>
      <c r="I1651" t="s">
        <v>3995</v>
      </c>
      <c r="J1651" s="1" t="str">
        <f>HYPERLINK("https://zfin.org/ZDB-GENE-050417-338")</f>
        <v>https://zfin.org/ZDB-GENE-050417-338</v>
      </c>
      <c r="K1651" t="s">
        <v>3997</v>
      </c>
    </row>
    <row r="1652" spans="1:11" x14ac:dyDescent="0.2">
      <c r="A1652">
        <v>9.0195682461822104E-12</v>
      </c>
      <c r="B1652">
        <v>0.648971221525798</v>
      </c>
      <c r="C1652">
        <v>0.76700000000000002</v>
      </c>
      <c r="D1652">
        <v>0.32600000000000001</v>
      </c>
      <c r="E1652">
        <v>1.3964997515563899E-7</v>
      </c>
      <c r="F1652">
        <v>2</v>
      </c>
      <c r="G1652" t="s">
        <v>3998</v>
      </c>
      <c r="H1652" t="s">
        <v>3999</v>
      </c>
      <c r="I1652" t="s">
        <v>3998</v>
      </c>
      <c r="J1652" s="1" t="str">
        <f>HYPERLINK("https://zfin.org/ZDB-GENE-020717-1")</f>
        <v>https://zfin.org/ZDB-GENE-020717-1</v>
      </c>
      <c r="K1652" t="s">
        <v>4000</v>
      </c>
    </row>
    <row r="1653" spans="1:11" x14ac:dyDescent="0.2">
      <c r="A1653">
        <v>9.3154550263716698E-12</v>
      </c>
      <c r="B1653">
        <v>0.57502085358075095</v>
      </c>
      <c r="C1653">
        <v>0.41699999999999998</v>
      </c>
      <c r="D1653">
        <v>0.11799999999999999</v>
      </c>
      <c r="E1653">
        <v>1.4423119017331299E-7</v>
      </c>
      <c r="F1653">
        <v>2</v>
      </c>
      <c r="G1653" t="s">
        <v>4001</v>
      </c>
      <c r="H1653" t="s">
        <v>4002</v>
      </c>
      <c r="I1653" t="s">
        <v>4001</v>
      </c>
      <c r="J1653" s="1" t="str">
        <f>HYPERLINK("https://zfin.org/ZDB-GENE-050522-477")</f>
        <v>https://zfin.org/ZDB-GENE-050522-477</v>
      </c>
      <c r="K1653" t="s">
        <v>4003</v>
      </c>
    </row>
    <row r="1654" spans="1:11" x14ac:dyDescent="0.2">
      <c r="A1654">
        <v>9.5413016623420294E-12</v>
      </c>
      <c r="B1654">
        <v>-2.2633172854171102</v>
      </c>
      <c r="C1654">
        <v>0.61699999999999999</v>
      </c>
      <c r="D1654">
        <v>0.78400000000000003</v>
      </c>
      <c r="E1654">
        <v>1.4772797363804201E-7</v>
      </c>
      <c r="F1654">
        <v>2</v>
      </c>
      <c r="G1654" t="s">
        <v>2606</v>
      </c>
      <c r="H1654" t="s">
        <v>2607</v>
      </c>
      <c r="I1654" t="s">
        <v>2606</v>
      </c>
      <c r="J1654" s="1" t="str">
        <f>HYPERLINK("https://zfin.org/ZDB-GENE-121214-200")</f>
        <v>https://zfin.org/ZDB-GENE-121214-200</v>
      </c>
      <c r="K1654" t="s">
        <v>2608</v>
      </c>
    </row>
    <row r="1655" spans="1:11" x14ac:dyDescent="0.2">
      <c r="A1655">
        <v>9.6352490409973095E-12</v>
      </c>
      <c r="B1655">
        <v>-1.2882652385330999</v>
      </c>
      <c r="C1655">
        <v>8.3000000000000004E-2</v>
      </c>
      <c r="D1655">
        <v>0.54500000000000004</v>
      </c>
      <c r="E1655">
        <v>1.49182560901761E-7</v>
      </c>
      <c r="F1655">
        <v>2</v>
      </c>
      <c r="G1655" t="s">
        <v>2666</v>
      </c>
      <c r="H1655" t="s">
        <v>2667</v>
      </c>
      <c r="I1655" t="s">
        <v>2666</v>
      </c>
      <c r="J1655" s="1" t="str">
        <f>HYPERLINK("https://zfin.org/ZDB-GENE-040426-1362")</f>
        <v>https://zfin.org/ZDB-GENE-040426-1362</v>
      </c>
      <c r="K1655" t="s">
        <v>2668</v>
      </c>
    </row>
    <row r="1656" spans="1:11" x14ac:dyDescent="0.2">
      <c r="A1656">
        <v>9.8092942921179003E-12</v>
      </c>
      <c r="B1656">
        <v>0.73928402843191898</v>
      </c>
      <c r="C1656">
        <v>0.96699999999999997</v>
      </c>
      <c r="D1656">
        <v>0.84899999999999998</v>
      </c>
      <c r="E1656">
        <v>1.5187730352486099E-7</v>
      </c>
      <c r="F1656">
        <v>2</v>
      </c>
      <c r="G1656" t="s">
        <v>4004</v>
      </c>
      <c r="H1656" t="s">
        <v>4005</v>
      </c>
      <c r="I1656" t="s">
        <v>4004</v>
      </c>
      <c r="J1656" s="1" t="str">
        <f>HYPERLINK("https://zfin.org/ZDB-GENE-050417-329")</f>
        <v>https://zfin.org/ZDB-GENE-050417-329</v>
      </c>
      <c r="K1656" t="s">
        <v>4006</v>
      </c>
    </row>
    <row r="1657" spans="1:11" x14ac:dyDescent="0.2">
      <c r="A1657">
        <v>9.8586107136643804E-12</v>
      </c>
      <c r="B1657">
        <v>-1.1339328399473101</v>
      </c>
      <c r="C1657">
        <v>0.3</v>
      </c>
      <c r="D1657">
        <v>0.68100000000000005</v>
      </c>
      <c r="E1657">
        <v>1.5264086967966601E-7</v>
      </c>
      <c r="F1657">
        <v>2</v>
      </c>
      <c r="G1657" t="s">
        <v>3110</v>
      </c>
      <c r="H1657" t="s">
        <v>3111</v>
      </c>
      <c r="I1657" t="s">
        <v>3110</v>
      </c>
      <c r="J1657" s="1" t="str">
        <f>HYPERLINK("https://zfin.org/ZDB-GENE-000511-4")</f>
        <v>https://zfin.org/ZDB-GENE-000511-4</v>
      </c>
      <c r="K1657" t="s">
        <v>3112</v>
      </c>
    </row>
    <row r="1658" spans="1:11" x14ac:dyDescent="0.2">
      <c r="A1658">
        <v>9.9765934389952396E-12</v>
      </c>
      <c r="B1658">
        <v>0.285257883103954</v>
      </c>
      <c r="C1658">
        <v>0.23300000000000001</v>
      </c>
      <c r="D1658">
        <v>0.04</v>
      </c>
      <c r="E1658">
        <v>1.5446759621596301E-7</v>
      </c>
      <c r="F1658">
        <v>2</v>
      </c>
      <c r="G1658" t="s">
        <v>311</v>
      </c>
      <c r="H1658" t="s">
        <v>312</v>
      </c>
      <c r="I1658" t="s">
        <v>311</v>
      </c>
      <c r="J1658" s="1" t="str">
        <f>HYPERLINK("https://zfin.org/ZDB-GENE-070209-143")</f>
        <v>https://zfin.org/ZDB-GENE-070209-143</v>
      </c>
      <c r="K1658" t="s">
        <v>313</v>
      </c>
    </row>
    <row r="1659" spans="1:11" x14ac:dyDescent="0.2">
      <c r="A1659">
        <v>1.00856443350256E-11</v>
      </c>
      <c r="B1659">
        <v>-1.26833379291554</v>
      </c>
      <c r="C1659">
        <v>0.26700000000000002</v>
      </c>
      <c r="D1659">
        <v>0.65200000000000002</v>
      </c>
      <c r="E1659">
        <v>1.5615603123920101E-7</v>
      </c>
      <c r="F1659">
        <v>2</v>
      </c>
      <c r="G1659" t="s">
        <v>2769</v>
      </c>
      <c r="H1659" t="s">
        <v>2770</v>
      </c>
      <c r="I1659" t="s">
        <v>2769</v>
      </c>
      <c r="J1659" s="1" t="str">
        <f>HYPERLINK("https://zfin.org/ZDB-GENE-011109-1")</f>
        <v>https://zfin.org/ZDB-GENE-011109-1</v>
      </c>
      <c r="K1659" t="s">
        <v>2771</v>
      </c>
    </row>
    <row r="1660" spans="1:11" x14ac:dyDescent="0.2">
      <c r="A1660">
        <v>1.02368607011385E-11</v>
      </c>
      <c r="B1660">
        <v>0.541468082117186</v>
      </c>
      <c r="C1660">
        <v>0.91700000000000004</v>
      </c>
      <c r="D1660">
        <v>0.64800000000000002</v>
      </c>
      <c r="E1660">
        <v>1.5849731423572699E-7</v>
      </c>
      <c r="F1660">
        <v>2</v>
      </c>
      <c r="G1660" t="s">
        <v>2784</v>
      </c>
      <c r="H1660" t="s">
        <v>2785</v>
      </c>
      <c r="I1660" t="s">
        <v>2784</v>
      </c>
      <c r="J1660" s="1" t="str">
        <f>HYPERLINK("https://zfin.org/ZDB-GENE-040426-1916")</f>
        <v>https://zfin.org/ZDB-GENE-040426-1916</v>
      </c>
      <c r="K1660" t="s">
        <v>2786</v>
      </c>
    </row>
    <row r="1661" spans="1:11" x14ac:dyDescent="0.2">
      <c r="A1661">
        <v>1.03475712781935E-11</v>
      </c>
      <c r="B1661">
        <v>0.36448302745196498</v>
      </c>
      <c r="C1661">
        <v>0.35</v>
      </c>
      <c r="D1661">
        <v>8.1000000000000003E-2</v>
      </c>
      <c r="E1661">
        <v>1.6021144610026999E-7</v>
      </c>
      <c r="F1661">
        <v>2</v>
      </c>
      <c r="G1661" t="s">
        <v>4007</v>
      </c>
      <c r="H1661" t="s">
        <v>4008</v>
      </c>
      <c r="I1661" t="s">
        <v>4007</v>
      </c>
      <c r="J1661" s="1" t="str">
        <f>HYPERLINK("https://zfin.org/ZDB-GENE-070928-24")</f>
        <v>https://zfin.org/ZDB-GENE-070928-24</v>
      </c>
      <c r="K1661" t="s">
        <v>4009</v>
      </c>
    </row>
    <row r="1662" spans="1:11" x14ac:dyDescent="0.2">
      <c r="A1662">
        <v>1.07628235721861E-11</v>
      </c>
      <c r="B1662">
        <v>-1.3018738186862899</v>
      </c>
      <c r="C1662">
        <v>0.48299999999999998</v>
      </c>
      <c r="D1662">
        <v>0.72599999999999998</v>
      </c>
      <c r="E1662">
        <v>1.6664079736815699E-7</v>
      </c>
      <c r="F1662">
        <v>2</v>
      </c>
      <c r="G1662" t="s">
        <v>2479</v>
      </c>
      <c r="H1662" t="s">
        <v>2480</v>
      </c>
      <c r="I1662" t="s">
        <v>2479</v>
      </c>
      <c r="J1662" s="1" t="str">
        <f>HYPERLINK("https://zfin.org/ZDB-GENE-031002-1")</f>
        <v>https://zfin.org/ZDB-GENE-031002-1</v>
      </c>
      <c r="K1662" t="s">
        <v>2481</v>
      </c>
    </row>
    <row r="1663" spans="1:11" x14ac:dyDescent="0.2">
      <c r="A1663">
        <v>1.2202826398840901E-11</v>
      </c>
      <c r="B1663">
        <v>0.29133761033785099</v>
      </c>
      <c r="C1663">
        <v>0.183</v>
      </c>
      <c r="D1663">
        <v>2.5999999999999999E-2</v>
      </c>
      <c r="E1663">
        <v>1.88936361133253E-7</v>
      </c>
      <c r="F1663">
        <v>2</v>
      </c>
      <c r="G1663" t="s">
        <v>4010</v>
      </c>
      <c r="H1663" t="s">
        <v>4011</v>
      </c>
      <c r="I1663" t="s">
        <v>4010</v>
      </c>
      <c r="J1663" s="1" t="str">
        <f>HYPERLINK("https://zfin.org/ZDB-GENE-050417-173")</f>
        <v>https://zfin.org/ZDB-GENE-050417-173</v>
      </c>
      <c r="K1663" t="s">
        <v>4012</v>
      </c>
    </row>
    <row r="1664" spans="1:11" x14ac:dyDescent="0.2">
      <c r="A1664">
        <v>1.2232218214977101E-11</v>
      </c>
      <c r="B1664">
        <v>0.25570769562754098</v>
      </c>
      <c r="C1664">
        <v>0.11700000000000001</v>
      </c>
      <c r="D1664">
        <v>0.01</v>
      </c>
      <c r="E1664">
        <v>1.8939143462249099E-7</v>
      </c>
      <c r="F1664">
        <v>2</v>
      </c>
      <c r="G1664" t="s">
        <v>4013</v>
      </c>
      <c r="H1664" t="s">
        <v>4014</v>
      </c>
      <c r="I1664" t="s">
        <v>4013</v>
      </c>
      <c r="J1664" s="1" t="str">
        <f>HYPERLINK("https://zfin.org/ZDB-GENE-081104-490")</f>
        <v>https://zfin.org/ZDB-GENE-081104-490</v>
      </c>
      <c r="K1664" t="s">
        <v>4015</v>
      </c>
    </row>
    <row r="1665" spans="1:11" x14ac:dyDescent="0.2">
      <c r="A1665">
        <v>1.30154329294222E-11</v>
      </c>
      <c r="B1665">
        <v>0.73638699599445701</v>
      </c>
      <c r="C1665">
        <v>1</v>
      </c>
      <c r="D1665">
        <v>0.93899999999999995</v>
      </c>
      <c r="E1665">
        <v>2.0151794804624399E-7</v>
      </c>
      <c r="F1665">
        <v>2</v>
      </c>
      <c r="G1665" t="s">
        <v>3056</v>
      </c>
      <c r="H1665" t="s">
        <v>3057</v>
      </c>
      <c r="I1665" t="s">
        <v>3056</v>
      </c>
      <c r="J1665" s="1" t="str">
        <f>HYPERLINK("https://zfin.org/ZDB-GENE-011205-18")</f>
        <v>https://zfin.org/ZDB-GENE-011205-18</v>
      </c>
      <c r="K1665" t="s">
        <v>3058</v>
      </c>
    </row>
    <row r="1666" spans="1:11" x14ac:dyDescent="0.2">
      <c r="A1666">
        <v>1.3488971819288599E-11</v>
      </c>
      <c r="B1666">
        <v>0.67769227066692395</v>
      </c>
      <c r="C1666">
        <v>0.86699999999999999</v>
      </c>
      <c r="D1666">
        <v>0.46400000000000002</v>
      </c>
      <c r="E1666">
        <v>2.08849750678046E-7</v>
      </c>
      <c r="F1666">
        <v>2</v>
      </c>
      <c r="G1666" t="s">
        <v>1970</v>
      </c>
      <c r="H1666" t="s">
        <v>1971</v>
      </c>
      <c r="I1666" t="s">
        <v>1970</v>
      </c>
      <c r="J1666" s="1" t="str">
        <f>HYPERLINK("https://zfin.org/ZDB-GENE-040718-199")</f>
        <v>https://zfin.org/ZDB-GENE-040718-199</v>
      </c>
      <c r="K1666" t="s">
        <v>1972</v>
      </c>
    </row>
    <row r="1667" spans="1:11" x14ac:dyDescent="0.2">
      <c r="A1667">
        <v>1.35721402795885E-11</v>
      </c>
      <c r="B1667">
        <v>0.48491548805160201</v>
      </c>
      <c r="C1667">
        <v>0.71699999999999997</v>
      </c>
      <c r="D1667">
        <v>0.27600000000000002</v>
      </c>
      <c r="E1667">
        <v>2.10137447948869E-7</v>
      </c>
      <c r="F1667">
        <v>2</v>
      </c>
      <c r="G1667" t="s">
        <v>4016</v>
      </c>
      <c r="H1667" t="s">
        <v>4017</v>
      </c>
      <c r="I1667" t="s">
        <v>4016</v>
      </c>
      <c r="J1667" s="1" t="str">
        <f>HYPERLINK("https://zfin.org/ZDB-GENE-030605-1")</f>
        <v>https://zfin.org/ZDB-GENE-030605-1</v>
      </c>
      <c r="K1667" t="s">
        <v>4018</v>
      </c>
    </row>
    <row r="1668" spans="1:11" x14ac:dyDescent="0.2">
      <c r="A1668">
        <v>1.3661831671058801E-11</v>
      </c>
      <c r="B1668">
        <v>0.62805081211587399</v>
      </c>
      <c r="C1668">
        <v>0.85</v>
      </c>
      <c r="D1668">
        <v>0.432</v>
      </c>
      <c r="E1668">
        <v>2.11526139763003E-7</v>
      </c>
      <c r="F1668">
        <v>2</v>
      </c>
      <c r="G1668" t="s">
        <v>3011</v>
      </c>
      <c r="H1668" t="s">
        <v>3012</v>
      </c>
      <c r="I1668" t="s">
        <v>3011</v>
      </c>
      <c r="J1668" s="1" t="str">
        <f>HYPERLINK("https://zfin.org/ZDB-GENE-040625-38")</f>
        <v>https://zfin.org/ZDB-GENE-040625-38</v>
      </c>
      <c r="K1668" t="s">
        <v>3013</v>
      </c>
    </row>
    <row r="1669" spans="1:11" x14ac:dyDescent="0.2">
      <c r="A1669">
        <v>1.4280085595579601E-11</v>
      </c>
      <c r="B1669">
        <v>0.27012643349834897</v>
      </c>
      <c r="C1669">
        <v>0.26700000000000002</v>
      </c>
      <c r="D1669">
        <v>5.0999999999999997E-2</v>
      </c>
      <c r="E1669">
        <v>2.21098565276359E-7</v>
      </c>
      <c r="F1669">
        <v>2</v>
      </c>
      <c r="G1669" t="s">
        <v>4019</v>
      </c>
      <c r="H1669" t="s">
        <v>4020</v>
      </c>
      <c r="I1669" t="s">
        <v>4019</v>
      </c>
      <c r="J1669" s="1" t="str">
        <f>HYPERLINK("https://zfin.org/ZDB-GENE-030710-2")</f>
        <v>https://zfin.org/ZDB-GENE-030710-2</v>
      </c>
      <c r="K1669" t="s">
        <v>4021</v>
      </c>
    </row>
    <row r="1670" spans="1:11" x14ac:dyDescent="0.2">
      <c r="A1670">
        <v>1.44028346194872E-11</v>
      </c>
      <c r="B1670">
        <v>0.43157368012365799</v>
      </c>
      <c r="C1670">
        <v>0.38300000000000001</v>
      </c>
      <c r="D1670">
        <v>9.9000000000000005E-2</v>
      </c>
      <c r="E1670">
        <v>2.2299908841352E-7</v>
      </c>
      <c r="F1670">
        <v>2</v>
      </c>
      <c r="G1670" t="s">
        <v>4022</v>
      </c>
      <c r="H1670" t="s">
        <v>4023</v>
      </c>
      <c r="I1670" t="s">
        <v>4022</v>
      </c>
      <c r="J1670" s="1" t="str">
        <f>HYPERLINK("https://zfin.org/ZDB-GENE-030131-867")</f>
        <v>https://zfin.org/ZDB-GENE-030131-867</v>
      </c>
      <c r="K1670" t="s">
        <v>4024</v>
      </c>
    </row>
    <row r="1671" spans="1:11" x14ac:dyDescent="0.2">
      <c r="A1671">
        <v>1.4581542447652099E-11</v>
      </c>
      <c r="B1671">
        <v>0.367067226362569</v>
      </c>
      <c r="C1671">
        <v>0.38300000000000001</v>
      </c>
      <c r="D1671">
        <v>9.6000000000000002E-2</v>
      </c>
      <c r="E1671">
        <v>2.2576602171699701E-7</v>
      </c>
      <c r="F1671">
        <v>2</v>
      </c>
      <c r="G1671" t="s">
        <v>4025</v>
      </c>
      <c r="H1671" t="s">
        <v>4026</v>
      </c>
      <c r="I1671" t="s">
        <v>4025</v>
      </c>
      <c r="J1671" s="1" t="str">
        <f>HYPERLINK("https://zfin.org/ZDB-GENE-040426-1683")</f>
        <v>https://zfin.org/ZDB-GENE-040426-1683</v>
      </c>
      <c r="K1671" t="s">
        <v>4027</v>
      </c>
    </row>
    <row r="1672" spans="1:11" x14ac:dyDescent="0.2">
      <c r="A1672">
        <v>1.4746646157646401E-11</v>
      </c>
      <c r="B1672">
        <v>0.57068581130688401</v>
      </c>
      <c r="C1672">
        <v>0.6</v>
      </c>
      <c r="D1672">
        <v>0.22</v>
      </c>
      <c r="E1672">
        <v>2.2832232245883899E-7</v>
      </c>
      <c r="F1672">
        <v>2</v>
      </c>
      <c r="G1672" t="s">
        <v>4028</v>
      </c>
      <c r="H1672" t="s">
        <v>4029</v>
      </c>
      <c r="I1672" t="s">
        <v>4028</v>
      </c>
      <c r="J1672" s="1" t="str">
        <f>HYPERLINK("https://zfin.org/ZDB-GENE-040718-124")</f>
        <v>https://zfin.org/ZDB-GENE-040718-124</v>
      </c>
      <c r="K1672" t="s">
        <v>4030</v>
      </c>
    </row>
    <row r="1673" spans="1:11" x14ac:dyDescent="0.2">
      <c r="A1673">
        <v>1.533041408159E-11</v>
      </c>
      <c r="B1673">
        <v>0.62053829850779396</v>
      </c>
      <c r="C1673">
        <v>0.68300000000000005</v>
      </c>
      <c r="D1673">
        <v>0.27600000000000002</v>
      </c>
      <c r="E1673">
        <v>2.37360801225257E-7</v>
      </c>
      <c r="F1673">
        <v>2</v>
      </c>
      <c r="G1673" t="s">
        <v>4031</v>
      </c>
      <c r="H1673" t="s">
        <v>4032</v>
      </c>
      <c r="I1673" t="s">
        <v>4031</v>
      </c>
      <c r="J1673" s="1" t="str">
        <f>HYPERLINK("https://zfin.org/ZDB-GENE-040426-899")</f>
        <v>https://zfin.org/ZDB-GENE-040426-899</v>
      </c>
      <c r="K1673" t="s">
        <v>4033</v>
      </c>
    </row>
    <row r="1674" spans="1:11" x14ac:dyDescent="0.2">
      <c r="A1674">
        <v>1.55351058282951E-11</v>
      </c>
      <c r="B1674">
        <v>0.48404971276423397</v>
      </c>
      <c r="C1674">
        <v>0.61699999999999999</v>
      </c>
      <c r="D1674">
        <v>0.221</v>
      </c>
      <c r="E1674">
        <v>2.4053004353949301E-7</v>
      </c>
      <c r="F1674">
        <v>2</v>
      </c>
      <c r="G1674" t="s">
        <v>325</v>
      </c>
      <c r="H1674" t="s">
        <v>326</v>
      </c>
      <c r="I1674" t="s">
        <v>325</v>
      </c>
      <c r="J1674" s="1" t="str">
        <f>HYPERLINK("https://zfin.org/ZDB-GENE-131127-224")</f>
        <v>https://zfin.org/ZDB-GENE-131127-224</v>
      </c>
      <c r="K1674" t="s">
        <v>327</v>
      </c>
    </row>
    <row r="1675" spans="1:11" x14ac:dyDescent="0.2">
      <c r="A1675">
        <v>1.68808199672599E-11</v>
      </c>
      <c r="B1675">
        <v>0.36548460865577698</v>
      </c>
      <c r="C1675">
        <v>0.15</v>
      </c>
      <c r="D1675">
        <v>1.7999999999999999E-2</v>
      </c>
      <c r="E1675">
        <v>2.61365735553086E-7</v>
      </c>
      <c r="F1675">
        <v>2</v>
      </c>
      <c r="G1675" t="s">
        <v>1195</v>
      </c>
      <c r="H1675" t="s">
        <v>1196</v>
      </c>
      <c r="I1675" t="s">
        <v>1195</v>
      </c>
      <c r="J1675" s="1" t="str">
        <f>HYPERLINK("https://zfin.org/ZDB-GENE-030131-8115")</f>
        <v>https://zfin.org/ZDB-GENE-030131-8115</v>
      </c>
      <c r="K1675" t="s">
        <v>1197</v>
      </c>
    </row>
    <row r="1676" spans="1:11" x14ac:dyDescent="0.2">
      <c r="A1676">
        <v>1.7037338880953099E-11</v>
      </c>
      <c r="B1676">
        <v>-1.5758242005457199</v>
      </c>
      <c r="C1676">
        <v>0.1</v>
      </c>
      <c r="D1676">
        <v>0.55000000000000004</v>
      </c>
      <c r="E1676">
        <v>2.6378911789379598E-7</v>
      </c>
      <c r="F1676">
        <v>2</v>
      </c>
      <c r="G1676" t="s">
        <v>3002</v>
      </c>
      <c r="H1676" t="s">
        <v>3003</v>
      </c>
      <c r="I1676" t="s">
        <v>3002</v>
      </c>
      <c r="J1676" s="1" t="str">
        <f>HYPERLINK("https://zfin.org/ZDB-GENE-141215-49")</f>
        <v>https://zfin.org/ZDB-GENE-141215-49</v>
      </c>
      <c r="K1676" t="s">
        <v>3004</v>
      </c>
    </row>
    <row r="1677" spans="1:11" x14ac:dyDescent="0.2">
      <c r="A1677">
        <v>1.70548273428163E-11</v>
      </c>
      <c r="B1677">
        <v>0.30025881824503298</v>
      </c>
      <c r="C1677">
        <v>0.317</v>
      </c>
      <c r="D1677">
        <v>6.9000000000000006E-2</v>
      </c>
      <c r="E1677">
        <v>2.6405989174882501E-7</v>
      </c>
      <c r="F1677">
        <v>2</v>
      </c>
      <c r="G1677" t="s">
        <v>126</v>
      </c>
      <c r="H1677" t="s">
        <v>127</v>
      </c>
      <c r="I1677" t="s">
        <v>126</v>
      </c>
      <c r="J1677" s="1" t="str">
        <f>HYPERLINK("https://zfin.org/ZDB-GENE-070424-269")</f>
        <v>https://zfin.org/ZDB-GENE-070424-269</v>
      </c>
      <c r="K1677" t="s">
        <v>128</v>
      </c>
    </row>
    <row r="1678" spans="1:11" x14ac:dyDescent="0.2">
      <c r="A1678">
        <v>1.73751004982033E-11</v>
      </c>
      <c r="B1678">
        <v>0.57696770981194101</v>
      </c>
      <c r="C1678">
        <v>0.41699999999999998</v>
      </c>
      <c r="D1678">
        <v>0.122</v>
      </c>
      <c r="E1678">
        <v>2.69018681013681E-7</v>
      </c>
      <c r="F1678">
        <v>2</v>
      </c>
      <c r="G1678" t="s">
        <v>627</v>
      </c>
      <c r="H1678" t="s">
        <v>628</v>
      </c>
      <c r="I1678" t="s">
        <v>627</v>
      </c>
      <c r="J1678" s="1" t="str">
        <f>HYPERLINK("https://zfin.org/ZDB-GENE-040801-178")</f>
        <v>https://zfin.org/ZDB-GENE-040801-178</v>
      </c>
      <c r="K1678" t="s">
        <v>629</v>
      </c>
    </row>
    <row r="1679" spans="1:11" x14ac:dyDescent="0.2">
      <c r="A1679">
        <v>1.7479433704953901E-11</v>
      </c>
      <c r="B1679">
        <v>0.30264215842294401</v>
      </c>
      <c r="C1679">
        <v>0.28299999999999997</v>
      </c>
      <c r="D1679">
        <v>5.7000000000000002E-2</v>
      </c>
      <c r="E1679">
        <v>2.7063407205380097E-7</v>
      </c>
      <c r="F1679">
        <v>2</v>
      </c>
      <c r="G1679" t="s">
        <v>2227</v>
      </c>
      <c r="H1679" t="s">
        <v>2228</v>
      </c>
      <c r="I1679" t="s">
        <v>2227</v>
      </c>
      <c r="J1679" s="1" t="str">
        <f>HYPERLINK("https://zfin.org/ZDB-GENE-040718-384")</f>
        <v>https://zfin.org/ZDB-GENE-040718-384</v>
      </c>
      <c r="K1679" t="s">
        <v>2229</v>
      </c>
    </row>
    <row r="1680" spans="1:11" x14ac:dyDescent="0.2">
      <c r="A1680">
        <v>1.88677122308884E-11</v>
      </c>
      <c r="B1680">
        <v>-1.06472606308194</v>
      </c>
      <c r="C1680">
        <v>0.36699999999999999</v>
      </c>
      <c r="D1680">
        <v>0.71899999999999997</v>
      </c>
      <c r="E1680">
        <v>2.9212878847084498E-7</v>
      </c>
      <c r="F1680">
        <v>2</v>
      </c>
      <c r="G1680" t="s">
        <v>3159</v>
      </c>
      <c r="H1680" t="s">
        <v>3160</v>
      </c>
      <c r="I1680" t="s">
        <v>3110</v>
      </c>
      <c r="J1680" s="1" t="str">
        <f>HYPERLINK("https://zfin.org/ZDB-GENE-000511-4")</f>
        <v>https://zfin.org/ZDB-GENE-000511-4</v>
      </c>
      <c r="K1680" t="s">
        <v>3112</v>
      </c>
    </row>
    <row r="1681" spans="1:11" x14ac:dyDescent="0.2">
      <c r="A1681">
        <v>1.91840100157422E-11</v>
      </c>
      <c r="B1681">
        <v>-2.1720112925729098</v>
      </c>
      <c r="C1681">
        <v>0.5</v>
      </c>
      <c r="D1681">
        <v>0.71799999999999997</v>
      </c>
      <c r="E1681">
        <v>2.9702602707373702E-7</v>
      </c>
      <c r="F1681">
        <v>2</v>
      </c>
      <c r="G1681" t="s">
        <v>2428</v>
      </c>
      <c r="H1681" t="s">
        <v>2429</v>
      </c>
      <c r="I1681" t="s">
        <v>2428</v>
      </c>
      <c r="J1681" s="1" t="str">
        <f>HYPERLINK("https://zfin.org/ZDB-GENE-111109-2")</f>
        <v>https://zfin.org/ZDB-GENE-111109-2</v>
      </c>
      <c r="K1681" t="s">
        <v>2430</v>
      </c>
    </row>
    <row r="1682" spans="1:11" x14ac:dyDescent="0.2">
      <c r="A1682">
        <v>2.0660207150827201E-11</v>
      </c>
      <c r="B1682">
        <v>-1.3274777814568599</v>
      </c>
      <c r="C1682">
        <v>0.2</v>
      </c>
      <c r="D1682">
        <v>0.60299999999999998</v>
      </c>
      <c r="E1682">
        <v>3.19881987316258E-7</v>
      </c>
      <c r="F1682">
        <v>2</v>
      </c>
      <c r="G1682" t="s">
        <v>2458</v>
      </c>
      <c r="H1682" t="s">
        <v>2459</v>
      </c>
      <c r="I1682" t="s">
        <v>2458</v>
      </c>
      <c r="J1682" s="1" t="str">
        <f>HYPERLINK("https://zfin.org/ZDB-GENE-060126-3")</f>
        <v>https://zfin.org/ZDB-GENE-060126-3</v>
      </c>
      <c r="K1682" t="s">
        <v>2460</v>
      </c>
    </row>
    <row r="1683" spans="1:11" x14ac:dyDescent="0.2">
      <c r="A1683">
        <v>2.11400879012931E-11</v>
      </c>
      <c r="B1683">
        <v>0.69534605695318896</v>
      </c>
      <c r="C1683">
        <v>0.66700000000000004</v>
      </c>
      <c r="D1683">
        <v>0.28199999999999997</v>
      </c>
      <c r="E1683">
        <v>3.2731198097572099E-7</v>
      </c>
      <c r="F1683">
        <v>2</v>
      </c>
      <c r="G1683" t="s">
        <v>791</v>
      </c>
      <c r="H1683" t="s">
        <v>792</v>
      </c>
      <c r="I1683" t="s">
        <v>791</v>
      </c>
      <c r="J1683" s="1" t="str">
        <f>HYPERLINK("https://zfin.org/ZDB-GENE-081107-63")</f>
        <v>https://zfin.org/ZDB-GENE-081107-63</v>
      </c>
      <c r="K1683" t="s">
        <v>793</v>
      </c>
    </row>
    <row r="1684" spans="1:11" x14ac:dyDescent="0.2">
      <c r="A1684">
        <v>2.1348953341668299E-11</v>
      </c>
      <c r="B1684">
        <v>0.63789492506644896</v>
      </c>
      <c r="C1684">
        <v>0.81699999999999995</v>
      </c>
      <c r="D1684">
        <v>0.46600000000000003</v>
      </c>
      <c r="E1684">
        <v>3.3054584458905002E-7</v>
      </c>
      <c r="F1684">
        <v>2</v>
      </c>
      <c r="G1684" t="s">
        <v>4034</v>
      </c>
      <c r="H1684" t="s">
        <v>4035</v>
      </c>
      <c r="I1684" t="s">
        <v>4034</v>
      </c>
      <c r="J1684" s="1" t="str">
        <f>HYPERLINK("https://zfin.org/ZDB-GENE-030131-845")</f>
        <v>https://zfin.org/ZDB-GENE-030131-845</v>
      </c>
      <c r="K1684" t="s">
        <v>4036</v>
      </c>
    </row>
    <row r="1685" spans="1:11" x14ac:dyDescent="0.2">
      <c r="A1685">
        <v>2.1618485291724501E-11</v>
      </c>
      <c r="B1685">
        <v>0.36917584316673902</v>
      </c>
      <c r="C1685">
        <v>0.38300000000000001</v>
      </c>
      <c r="D1685">
        <v>0.1</v>
      </c>
      <c r="E1685">
        <v>3.3471900777177001E-7</v>
      </c>
      <c r="F1685">
        <v>2</v>
      </c>
      <c r="G1685" t="s">
        <v>4037</v>
      </c>
      <c r="H1685" t="s">
        <v>4038</v>
      </c>
      <c r="I1685" t="s">
        <v>4037</v>
      </c>
      <c r="J1685" s="1" t="str">
        <f>HYPERLINK("https://zfin.org/ZDB-GENE-040912-123")</f>
        <v>https://zfin.org/ZDB-GENE-040912-123</v>
      </c>
      <c r="K1685" t="s">
        <v>4039</v>
      </c>
    </row>
    <row r="1686" spans="1:11" x14ac:dyDescent="0.2">
      <c r="A1686">
        <v>2.42569697967237E-11</v>
      </c>
      <c r="B1686">
        <v>0.37334424444394798</v>
      </c>
      <c r="C1686">
        <v>0.183</v>
      </c>
      <c r="D1686">
        <v>2.7E-2</v>
      </c>
      <c r="E1686">
        <v>3.7557066336267298E-7</v>
      </c>
      <c r="F1686">
        <v>2</v>
      </c>
      <c r="G1686" t="s">
        <v>1089</v>
      </c>
      <c r="H1686" t="s">
        <v>1090</v>
      </c>
      <c r="I1686" t="s">
        <v>1089</v>
      </c>
      <c r="J1686" s="1" t="str">
        <f>HYPERLINK("https://zfin.org/ZDB-GENE-030131-7437")</f>
        <v>https://zfin.org/ZDB-GENE-030131-7437</v>
      </c>
      <c r="K1686" t="s">
        <v>1091</v>
      </c>
    </row>
    <row r="1687" spans="1:11" x14ac:dyDescent="0.2">
      <c r="A1687">
        <v>2.4480474226602201E-11</v>
      </c>
      <c r="B1687">
        <v>0.33135069698622799</v>
      </c>
      <c r="C1687">
        <v>0.3</v>
      </c>
      <c r="D1687">
        <v>6.4000000000000001E-2</v>
      </c>
      <c r="E1687">
        <v>3.79031182450481E-7</v>
      </c>
      <c r="F1687">
        <v>2</v>
      </c>
      <c r="G1687" t="s">
        <v>4040</v>
      </c>
      <c r="H1687" t="s">
        <v>4041</v>
      </c>
      <c r="I1687" t="s">
        <v>4040</v>
      </c>
      <c r="J1687" s="1" t="str">
        <f>HYPERLINK("https://zfin.org/ZDB-GENE-090929-2")</f>
        <v>https://zfin.org/ZDB-GENE-090929-2</v>
      </c>
      <c r="K1687" t="s">
        <v>4042</v>
      </c>
    </row>
    <row r="1688" spans="1:11" x14ac:dyDescent="0.2">
      <c r="A1688">
        <v>2.5176788007975499E-11</v>
      </c>
      <c r="B1688">
        <v>0.47704564971625701</v>
      </c>
      <c r="C1688">
        <v>0.63300000000000001</v>
      </c>
      <c r="D1688">
        <v>0.23100000000000001</v>
      </c>
      <c r="E1688">
        <v>3.8981220872748402E-7</v>
      </c>
      <c r="F1688">
        <v>2</v>
      </c>
      <c r="G1688" t="s">
        <v>4043</v>
      </c>
      <c r="H1688" t="s">
        <v>4044</v>
      </c>
      <c r="I1688" t="s">
        <v>4043</v>
      </c>
      <c r="J1688" s="1" t="str">
        <f>HYPERLINK("https://zfin.org/ZDB-GENE-040426-2397")</f>
        <v>https://zfin.org/ZDB-GENE-040426-2397</v>
      </c>
      <c r="K1688" t="s">
        <v>4045</v>
      </c>
    </row>
    <row r="1689" spans="1:11" x14ac:dyDescent="0.2">
      <c r="A1689">
        <v>2.5422558298349799E-11</v>
      </c>
      <c r="B1689">
        <v>0.47421516986341899</v>
      </c>
      <c r="C1689">
        <v>0.41699999999999998</v>
      </c>
      <c r="D1689">
        <v>0.115</v>
      </c>
      <c r="E1689">
        <v>3.9361747013334901E-7</v>
      </c>
      <c r="F1689">
        <v>2</v>
      </c>
      <c r="G1689" t="s">
        <v>4046</v>
      </c>
      <c r="H1689" t="s">
        <v>4047</v>
      </c>
      <c r="I1689" t="s">
        <v>4046</v>
      </c>
      <c r="J1689" s="1" t="str">
        <f>HYPERLINK("https://zfin.org/ZDB-GENE-050522-117")</f>
        <v>https://zfin.org/ZDB-GENE-050522-117</v>
      </c>
      <c r="K1689" t="s">
        <v>4048</v>
      </c>
    </row>
    <row r="1690" spans="1:11" x14ac:dyDescent="0.2">
      <c r="A1690">
        <v>2.5904857212344399E-11</v>
      </c>
      <c r="B1690">
        <v>0.68689843307306897</v>
      </c>
      <c r="C1690">
        <v>0.5</v>
      </c>
      <c r="D1690">
        <v>0.17</v>
      </c>
      <c r="E1690">
        <v>4.0108490421872798E-7</v>
      </c>
      <c r="F1690">
        <v>2</v>
      </c>
      <c r="G1690" t="s">
        <v>4049</v>
      </c>
      <c r="H1690" t="s">
        <v>4050</v>
      </c>
      <c r="I1690" t="s">
        <v>4049</v>
      </c>
      <c r="J1690" s="1" t="str">
        <f>HYPERLINK("https://zfin.org/ZDB-GENE-070912-179")</f>
        <v>https://zfin.org/ZDB-GENE-070912-179</v>
      </c>
      <c r="K1690" t="s">
        <v>4051</v>
      </c>
    </row>
    <row r="1691" spans="1:11" x14ac:dyDescent="0.2">
      <c r="A1691">
        <v>2.6823773688153899E-11</v>
      </c>
      <c r="B1691">
        <v>0.62915517936286303</v>
      </c>
      <c r="C1691">
        <v>0.58299999999999996</v>
      </c>
      <c r="D1691">
        <v>0.214</v>
      </c>
      <c r="E1691">
        <v>4.1531248801368599E-7</v>
      </c>
      <c r="F1691">
        <v>2</v>
      </c>
      <c r="G1691" t="s">
        <v>4052</v>
      </c>
      <c r="H1691" t="s">
        <v>4053</v>
      </c>
      <c r="I1691" t="s">
        <v>4052</v>
      </c>
      <c r="J1691" s="1" t="str">
        <f>HYPERLINK("https://zfin.org/ZDB-GENE-040426-2303")</f>
        <v>https://zfin.org/ZDB-GENE-040426-2303</v>
      </c>
      <c r="K1691" t="s">
        <v>4054</v>
      </c>
    </row>
    <row r="1692" spans="1:11" x14ac:dyDescent="0.2">
      <c r="A1692">
        <v>2.6976832720428499E-11</v>
      </c>
      <c r="B1692">
        <v>0.62386353537176198</v>
      </c>
      <c r="C1692">
        <v>0.61699999999999999</v>
      </c>
      <c r="D1692">
        <v>0.25800000000000001</v>
      </c>
      <c r="E1692">
        <v>4.17682301010395E-7</v>
      </c>
      <c r="F1692">
        <v>2</v>
      </c>
      <c r="G1692" t="s">
        <v>3035</v>
      </c>
      <c r="H1692" t="s">
        <v>3036</v>
      </c>
      <c r="I1692" t="s">
        <v>3035</v>
      </c>
      <c r="J1692" s="1" t="str">
        <f>HYPERLINK("https://zfin.org/ZDB-GENE-030131-4317")</f>
        <v>https://zfin.org/ZDB-GENE-030131-4317</v>
      </c>
      <c r="K1692" t="s">
        <v>3037</v>
      </c>
    </row>
    <row r="1693" spans="1:11" x14ac:dyDescent="0.2">
      <c r="A1693">
        <v>2.7027925791042801E-11</v>
      </c>
      <c r="B1693">
        <v>0.57022824516922799</v>
      </c>
      <c r="C1693">
        <v>0.53300000000000003</v>
      </c>
      <c r="D1693">
        <v>0.18</v>
      </c>
      <c r="E1693">
        <v>4.1847337502271602E-7</v>
      </c>
      <c r="F1693">
        <v>2</v>
      </c>
      <c r="G1693" t="s">
        <v>4055</v>
      </c>
      <c r="H1693" t="s">
        <v>4056</v>
      </c>
      <c r="I1693" t="s">
        <v>4055</v>
      </c>
      <c r="J1693" s="1" t="str">
        <f>HYPERLINK("https://zfin.org/ZDB-GENE-060810-187")</f>
        <v>https://zfin.org/ZDB-GENE-060810-187</v>
      </c>
      <c r="K1693" t="s">
        <v>4057</v>
      </c>
    </row>
    <row r="1694" spans="1:11" x14ac:dyDescent="0.2">
      <c r="A1694">
        <v>2.75754729115357E-11</v>
      </c>
      <c r="B1694">
        <v>0.41982624784127798</v>
      </c>
      <c r="C1694">
        <v>0.28299999999999997</v>
      </c>
      <c r="D1694">
        <v>0.06</v>
      </c>
      <c r="E1694">
        <v>4.2695104708930701E-7</v>
      </c>
      <c r="F1694">
        <v>2</v>
      </c>
      <c r="G1694" t="s">
        <v>2936</v>
      </c>
      <c r="H1694" t="s">
        <v>2937</v>
      </c>
      <c r="I1694" t="s">
        <v>2936</v>
      </c>
      <c r="J1694" s="1" t="str">
        <f>HYPERLINK("https://zfin.org/ZDB-GENE-041219-2")</f>
        <v>https://zfin.org/ZDB-GENE-041219-2</v>
      </c>
      <c r="K1694" t="s">
        <v>2938</v>
      </c>
    </row>
    <row r="1695" spans="1:11" x14ac:dyDescent="0.2">
      <c r="A1695">
        <v>2.7978831824910299E-11</v>
      </c>
      <c r="B1695">
        <v>0.25654603414432903</v>
      </c>
      <c r="C1695">
        <v>0.15</v>
      </c>
      <c r="D1695">
        <v>1.7999999999999999E-2</v>
      </c>
      <c r="E1695">
        <v>4.33196253145087E-7</v>
      </c>
      <c r="F1695">
        <v>2</v>
      </c>
      <c r="G1695" t="s">
        <v>4058</v>
      </c>
      <c r="H1695" t="s">
        <v>4059</v>
      </c>
      <c r="I1695" t="s">
        <v>4058</v>
      </c>
      <c r="J1695" s="1" t="str">
        <f>HYPERLINK("https://zfin.org/ZDB-GENE-110310-2")</f>
        <v>https://zfin.org/ZDB-GENE-110310-2</v>
      </c>
      <c r="K1695" t="s">
        <v>4060</v>
      </c>
    </row>
    <row r="1696" spans="1:11" x14ac:dyDescent="0.2">
      <c r="A1696">
        <v>2.96996790977684E-11</v>
      </c>
      <c r="B1696">
        <v>0.429190017659069</v>
      </c>
      <c r="C1696">
        <v>0.38300000000000001</v>
      </c>
      <c r="D1696">
        <v>9.9000000000000005E-2</v>
      </c>
      <c r="E1696">
        <v>4.59840131470748E-7</v>
      </c>
      <c r="F1696">
        <v>2</v>
      </c>
      <c r="G1696" t="s">
        <v>4061</v>
      </c>
      <c r="H1696" t="s">
        <v>4062</v>
      </c>
      <c r="I1696" t="s">
        <v>4061</v>
      </c>
      <c r="J1696" s="1" t="str">
        <f>HYPERLINK("https://zfin.org/ZDB-GENE-040912-133")</f>
        <v>https://zfin.org/ZDB-GENE-040912-133</v>
      </c>
      <c r="K1696" t="s">
        <v>4063</v>
      </c>
    </row>
    <row r="1697" spans="1:11" x14ac:dyDescent="0.2">
      <c r="A1697">
        <v>3.1248337065648102E-11</v>
      </c>
      <c r="B1697">
        <v>0.72609398553405002</v>
      </c>
      <c r="C1697">
        <v>0.73299999999999998</v>
      </c>
      <c r="D1697">
        <v>0.35099999999999998</v>
      </c>
      <c r="E1697">
        <v>4.8381800278743E-7</v>
      </c>
      <c r="F1697">
        <v>2</v>
      </c>
      <c r="G1697" t="s">
        <v>4064</v>
      </c>
      <c r="H1697" t="s">
        <v>4065</v>
      </c>
      <c r="I1697" t="s">
        <v>4064</v>
      </c>
      <c r="J1697" s="1" t="str">
        <f>HYPERLINK("https://zfin.org/ZDB-GENE-040426-2345")</f>
        <v>https://zfin.org/ZDB-GENE-040426-2345</v>
      </c>
      <c r="K1697" t="s">
        <v>4066</v>
      </c>
    </row>
    <row r="1698" spans="1:11" x14ac:dyDescent="0.2">
      <c r="A1698">
        <v>3.1714878297853002E-11</v>
      </c>
      <c r="B1698">
        <v>0.33863648189349899</v>
      </c>
      <c r="C1698">
        <v>0.13300000000000001</v>
      </c>
      <c r="D1698">
        <v>1.4E-2</v>
      </c>
      <c r="E1698">
        <v>4.9104146068565801E-7</v>
      </c>
      <c r="F1698">
        <v>2</v>
      </c>
      <c r="G1698" t="s">
        <v>1643</v>
      </c>
      <c r="H1698" t="s">
        <v>1644</v>
      </c>
      <c r="I1698" t="s">
        <v>1643</v>
      </c>
      <c r="J1698" s="1" t="str">
        <f>HYPERLINK("https://zfin.org/ZDB-GENE-131121-624")</f>
        <v>https://zfin.org/ZDB-GENE-131121-624</v>
      </c>
      <c r="K1698" t="s">
        <v>1645</v>
      </c>
    </row>
    <row r="1699" spans="1:11" x14ac:dyDescent="0.2">
      <c r="A1699">
        <v>3.3352562232409801E-11</v>
      </c>
      <c r="B1699">
        <v>-1.20898981035869</v>
      </c>
      <c r="C1699">
        <v>0.13300000000000001</v>
      </c>
      <c r="D1699">
        <v>0.55900000000000005</v>
      </c>
      <c r="E1699">
        <v>5.1639772104440097E-7</v>
      </c>
      <c r="F1699">
        <v>2</v>
      </c>
      <c r="G1699" t="s">
        <v>4067</v>
      </c>
      <c r="H1699" t="s">
        <v>4068</v>
      </c>
      <c r="I1699" t="s">
        <v>4067</v>
      </c>
      <c r="J1699" s="1" t="str">
        <f>HYPERLINK("https://zfin.org/ZDB-GENE-040912-149")</f>
        <v>https://zfin.org/ZDB-GENE-040912-149</v>
      </c>
      <c r="K1699" t="s">
        <v>4069</v>
      </c>
    </row>
    <row r="1700" spans="1:11" x14ac:dyDescent="0.2">
      <c r="A1700">
        <v>3.4035602768001702E-11</v>
      </c>
      <c r="B1700">
        <v>0.39011880491193202</v>
      </c>
      <c r="C1700">
        <v>0.33300000000000002</v>
      </c>
      <c r="D1700">
        <v>7.9000000000000001E-2</v>
      </c>
      <c r="E1700">
        <v>5.2697323765696998E-7</v>
      </c>
      <c r="F1700">
        <v>2</v>
      </c>
      <c r="G1700" t="s">
        <v>633</v>
      </c>
      <c r="H1700" t="s">
        <v>634</v>
      </c>
      <c r="I1700" t="s">
        <v>633</v>
      </c>
      <c r="J1700" s="1" t="str">
        <f>HYPERLINK("https://zfin.org/ZDB-GENE-081104-219")</f>
        <v>https://zfin.org/ZDB-GENE-081104-219</v>
      </c>
      <c r="K1700" t="s">
        <v>635</v>
      </c>
    </row>
    <row r="1701" spans="1:11" x14ac:dyDescent="0.2">
      <c r="A1701">
        <v>3.4307469199814797E-11</v>
      </c>
      <c r="B1701">
        <v>0.62111844250979098</v>
      </c>
      <c r="C1701">
        <v>0.98299999999999998</v>
      </c>
      <c r="D1701">
        <v>0.72899999999999998</v>
      </c>
      <c r="E1701">
        <v>5.3118254562073199E-7</v>
      </c>
      <c r="F1701">
        <v>2</v>
      </c>
      <c r="G1701" t="s">
        <v>2344</v>
      </c>
      <c r="H1701" t="s">
        <v>2345</v>
      </c>
      <c r="I1701" t="s">
        <v>2344</v>
      </c>
      <c r="J1701" s="1" t="str">
        <f>HYPERLINK("https://zfin.org/ZDB-GENE-030131-6602")</f>
        <v>https://zfin.org/ZDB-GENE-030131-6602</v>
      </c>
      <c r="K1701" t="s">
        <v>2346</v>
      </c>
    </row>
    <row r="1702" spans="1:11" x14ac:dyDescent="0.2">
      <c r="A1702">
        <v>3.4320203822027101E-11</v>
      </c>
      <c r="B1702">
        <v>0.26618496468672498</v>
      </c>
      <c r="C1702">
        <v>0.28299999999999997</v>
      </c>
      <c r="D1702">
        <v>5.8000000000000003E-2</v>
      </c>
      <c r="E1702">
        <v>5.3137971577644504E-7</v>
      </c>
      <c r="F1702">
        <v>2</v>
      </c>
      <c r="G1702" t="s">
        <v>4070</v>
      </c>
      <c r="H1702" t="s">
        <v>4071</v>
      </c>
      <c r="I1702" t="s">
        <v>4070</v>
      </c>
      <c r="J1702" s="1" t="str">
        <f>HYPERLINK("https://zfin.org/ZDB-GENE-040625-114")</f>
        <v>https://zfin.org/ZDB-GENE-040625-114</v>
      </c>
      <c r="K1702" t="s">
        <v>4072</v>
      </c>
    </row>
    <row r="1703" spans="1:11" x14ac:dyDescent="0.2">
      <c r="A1703">
        <v>3.63535685834921E-11</v>
      </c>
      <c r="B1703">
        <v>0.81051608591390301</v>
      </c>
      <c r="C1703">
        <v>0.2</v>
      </c>
      <c r="D1703">
        <v>3.2000000000000001E-2</v>
      </c>
      <c r="E1703">
        <v>5.6286230237820803E-7</v>
      </c>
      <c r="F1703">
        <v>2</v>
      </c>
      <c r="G1703" t="s">
        <v>4073</v>
      </c>
      <c r="H1703" t="s">
        <v>4074</v>
      </c>
      <c r="I1703" t="s">
        <v>4073</v>
      </c>
      <c r="J1703" s="1" t="str">
        <f>HYPERLINK("https://zfin.org/ZDB-GENE-040426-1810")</f>
        <v>https://zfin.org/ZDB-GENE-040426-1810</v>
      </c>
      <c r="K1703" t="s">
        <v>4075</v>
      </c>
    </row>
    <row r="1704" spans="1:11" x14ac:dyDescent="0.2">
      <c r="A1704">
        <v>3.69552303318837E-11</v>
      </c>
      <c r="B1704">
        <v>0.61562676704255903</v>
      </c>
      <c r="C1704">
        <v>0.78300000000000003</v>
      </c>
      <c r="D1704">
        <v>0.36799999999999999</v>
      </c>
      <c r="E1704">
        <v>5.7217783122855495E-7</v>
      </c>
      <c r="F1704">
        <v>2</v>
      </c>
      <c r="G1704" t="s">
        <v>4076</v>
      </c>
      <c r="H1704" t="s">
        <v>4077</v>
      </c>
      <c r="I1704" t="s">
        <v>4076</v>
      </c>
      <c r="J1704" s="1" t="str">
        <f>HYPERLINK("https://zfin.org/ZDB-GENE-040930-9")</f>
        <v>https://zfin.org/ZDB-GENE-040930-9</v>
      </c>
      <c r="K1704" t="s">
        <v>4078</v>
      </c>
    </row>
    <row r="1705" spans="1:11" x14ac:dyDescent="0.2">
      <c r="A1705">
        <v>3.7426322164841098E-11</v>
      </c>
      <c r="B1705">
        <v>0.66314927952180303</v>
      </c>
      <c r="C1705">
        <v>0.75</v>
      </c>
      <c r="D1705">
        <v>0.377</v>
      </c>
      <c r="E1705">
        <v>5.79471746078234E-7</v>
      </c>
      <c r="F1705">
        <v>2</v>
      </c>
      <c r="G1705" t="s">
        <v>4079</v>
      </c>
      <c r="H1705" t="s">
        <v>4080</v>
      </c>
      <c r="I1705" t="s">
        <v>4079</v>
      </c>
      <c r="J1705" s="1" t="str">
        <f>HYPERLINK("https://zfin.org/ZDB-GENE-040426-1421")</f>
        <v>https://zfin.org/ZDB-GENE-040426-1421</v>
      </c>
      <c r="K1705" t="s">
        <v>4081</v>
      </c>
    </row>
    <row r="1706" spans="1:11" x14ac:dyDescent="0.2">
      <c r="A1706">
        <v>4.0408041402774602E-11</v>
      </c>
      <c r="B1706">
        <v>0.54675064290434705</v>
      </c>
      <c r="C1706">
        <v>1</v>
      </c>
      <c r="D1706">
        <v>0.84099999999999997</v>
      </c>
      <c r="E1706">
        <v>6.2563770503916E-7</v>
      </c>
      <c r="F1706">
        <v>2</v>
      </c>
      <c r="G1706" t="s">
        <v>2021</v>
      </c>
      <c r="H1706" t="s">
        <v>2022</v>
      </c>
      <c r="I1706" t="s">
        <v>2021</v>
      </c>
      <c r="J1706" s="1" t="str">
        <f>HYPERLINK("https://zfin.org/ZDB-GENE-030131-8062")</f>
        <v>https://zfin.org/ZDB-GENE-030131-8062</v>
      </c>
      <c r="K1706" t="s">
        <v>2023</v>
      </c>
    </row>
    <row r="1707" spans="1:11" x14ac:dyDescent="0.2">
      <c r="A1707">
        <v>4.1376882662368798E-11</v>
      </c>
      <c r="B1707">
        <v>0.59230541059807895</v>
      </c>
      <c r="C1707">
        <v>0.76700000000000002</v>
      </c>
      <c r="D1707">
        <v>0.35699999999999998</v>
      </c>
      <c r="E1707">
        <v>6.4063827426145597E-7</v>
      </c>
      <c r="F1707">
        <v>2</v>
      </c>
      <c r="G1707" t="s">
        <v>4082</v>
      </c>
      <c r="H1707" t="s">
        <v>4083</v>
      </c>
      <c r="I1707" t="s">
        <v>4082</v>
      </c>
      <c r="J1707" s="1" t="str">
        <f>HYPERLINK("https://zfin.org/ZDB-GENE-060503-941")</f>
        <v>https://zfin.org/ZDB-GENE-060503-941</v>
      </c>
      <c r="K1707" t="s">
        <v>4084</v>
      </c>
    </row>
    <row r="1708" spans="1:11" x14ac:dyDescent="0.2">
      <c r="A1708">
        <v>4.7331022797680601E-11</v>
      </c>
      <c r="B1708">
        <v>0.61991016251764697</v>
      </c>
      <c r="C1708">
        <v>0.51700000000000002</v>
      </c>
      <c r="D1708">
        <v>0.184</v>
      </c>
      <c r="E1708">
        <v>7.3282622597648896E-7</v>
      </c>
      <c r="F1708">
        <v>2</v>
      </c>
      <c r="G1708" t="s">
        <v>1655</v>
      </c>
      <c r="H1708" t="s">
        <v>1656</v>
      </c>
      <c r="I1708" t="s">
        <v>1655</v>
      </c>
      <c r="J1708" s="1" t="str">
        <f>HYPERLINK("https://zfin.org/ZDB-GENE-020122-3")</f>
        <v>https://zfin.org/ZDB-GENE-020122-3</v>
      </c>
      <c r="K1708" t="s">
        <v>1657</v>
      </c>
    </row>
    <row r="1709" spans="1:11" x14ac:dyDescent="0.2">
      <c r="A1709">
        <v>4.89452463975907E-11</v>
      </c>
      <c r="B1709">
        <v>-1.5977211772529001</v>
      </c>
      <c r="C1709">
        <v>0.15</v>
      </c>
      <c r="D1709">
        <v>0.54800000000000004</v>
      </c>
      <c r="E1709">
        <v>7.5781924997389701E-7</v>
      </c>
      <c r="F1709">
        <v>2</v>
      </c>
      <c r="G1709" t="s">
        <v>2793</v>
      </c>
      <c r="H1709" t="s">
        <v>2794</v>
      </c>
      <c r="I1709" t="s">
        <v>2793</v>
      </c>
      <c r="J1709" s="1" t="str">
        <f>HYPERLINK("https://zfin.org/ZDB-GENE-050320-109")</f>
        <v>https://zfin.org/ZDB-GENE-050320-109</v>
      </c>
      <c r="K1709" t="s">
        <v>2795</v>
      </c>
    </row>
    <row r="1710" spans="1:11" x14ac:dyDescent="0.2">
      <c r="A1710">
        <v>5.0701891748455697E-11</v>
      </c>
      <c r="B1710">
        <v>-1.39626280011993</v>
      </c>
      <c r="C1710">
        <v>0.33300000000000002</v>
      </c>
      <c r="D1710">
        <v>0.64800000000000002</v>
      </c>
      <c r="E1710">
        <v>7.8501738994133903E-7</v>
      </c>
      <c r="F1710">
        <v>2</v>
      </c>
      <c r="G1710" t="s">
        <v>2389</v>
      </c>
      <c r="H1710" t="s">
        <v>2390</v>
      </c>
      <c r="I1710" t="s">
        <v>2389</v>
      </c>
      <c r="J1710" s="1" t="str">
        <f>HYPERLINK("https://zfin.org/ZDB-GENE-050308-1")</f>
        <v>https://zfin.org/ZDB-GENE-050308-1</v>
      </c>
      <c r="K1710" t="s">
        <v>2391</v>
      </c>
    </row>
    <row r="1711" spans="1:11" x14ac:dyDescent="0.2">
      <c r="A1711">
        <v>5.3827664196715297E-11</v>
      </c>
      <c r="B1711">
        <v>-0.88756937258856705</v>
      </c>
      <c r="C1711">
        <v>0.85</v>
      </c>
      <c r="D1711">
        <v>0.89300000000000002</v>
      </c>
      <c r="E1711">
        <v>8.3341372475774303E-7</v>
      </c>
      <c r="F1711">
        <v>2</v>
      </c>
      <c r="G1711" t="s">
        <v>2990</v>
      </c>
      <c r="H1711" t="s">
        <v>2991</v>
      </c>
      <c r="I1711" t="s">
        <v>2990</v>
      </c>
      <c r="J1711" s="1" t="str">
        <f>HYPERLINK("https://zfin.org/ZDB-GENE-000511-7")</f>
        <v>https://zfin.org/ZDB-GENE-000511-7</v>
      </c>
      <c r="K1711" t="s">
        <v>2992</v>
      </c>
    </row>
    <row r="1712" spans="1:11" x14ac:dyDescent="0.2">
      <c r="A1712">
        <v>5.4609296439359897E-11</v>
      </c>
      <c r="B1712">
        <v>0.56551310881873096</v>
      </c>
      <c r="C1712">
        <v>0.6</v>
      </c>
      <c r="D1712">
        <v>0.22900000000000001</v>
      </c>
      <c r="E1712">
        <v>8.4551573677061004E-7</v>
      </c>
      <c r="F1712">
        <v>2</v>
      </c>
      <c r="G1712" t="s">
        <v>1649</v>
      </c>
      <c r="H1712" t="s">
        <v>1650</v>
      </c>
      <c r="I1712" t="s">
        <v>1649</v>
      </c>
      <c r="J1712" s="1" t="str">
        <f>HYPERLINK("https://zfin.org/ZDB-GENE-030131-6965")</f>
        <v>https://zfin.org/ZDB-GENE-030131-6965</v>
      </c>
      <c r="K1712" t="s">
        <v>1651</v>
      </c>
    </row>
    <row r="1713" spans="1:11" x14ac:dyDescent="0.2">
      <c r="A1713">
        <v>5.9352108661657904E-11</v>
      </c>
      <c r="B1713">
        <v>0.60517676595937198</v>
      </c>
      <c r="C1713">
        <v>0.73299999999999998</v>
      </c>
      <c r="D1713">
        <v>0.32200000000000001</v>
      </c>
      <c r="E1713">
        <v>9.1894869840845003E-7</v>
      </c>
      <c r="F1713">
        <v>2</v>
      </c>
      <c r="G1713" t="s">
        <v>1855</v>
      </c>
      <c r="H1713" t="s">
        <v>1856</v>
      </c>
      <c r="I1713" t="s">
        <v>1855</v>
      </c>
      <c r="J1713" s="1" t="str">
        <f>HYPERLINK("https://zfin.org/ZDB-GENE-040426-1781")</f>
        <v>https://zfin.org/ZDB-GENE-040426-1781</v>
      </c>
      <c r="K1713" t="s">
        <v>1857</v>
      </c>
    </row>
    <row r="1714" spans="1:11" x14ac:dyDescent="0.2">
      <c r="A1714">
        <v>6.3250609698926605E-11</v>
      </c>
      <c r="B1714">
        <v>0.27528185906040897</v>
      </c>
      <c r="C1714">
        <v>0.217</v>
      </c>
      <c r="D1714">
        <v>3.7999999999999999E-2</v>
      </c>
      <c r="E1714">
        <v>9.7930918996848103E-7</v>
      </c>
      <c r="F1714">
        <v>2</v>
      </c>
      <c r="G1714" t="s">
        <v>576</v>
      </c>
      <c r="H1714" t="s">
        <v>577</v>
      </c>
      <c r="I1714" t="s">
        <v>576</v>
      </c>
      <c r="J1714" s="1" t="str">
        <f>HYPERLINK("https://zfin.org/ZDB-GENE-050601-1")</f>
        <v>https://zfin.org/ZDB-GENE-050601-1</v>
      </c>
      <c r="K1714" t="s">
        <v>578</v>
      </c>
    </row>
    <row r="1715" spans="1:11" x14ac:dyDescent="0.2">
      <c r="A1715">
        <v>6.5602088487190202E-11</v>
      </c>
      <c r="B1715">
        <v>0.64016667865380295</v>
      </c>
      <c r="C1715">
        <v>0.83299999999999996</v>
      </c>
      <c r="D1715">
        <v>0.46400000000000002</v>
      </c>
      <c r="E1715">
        <v>1.01571713604717E-6</v>
      </c>
      <c r="F1715">
        <v>2</v>
      </c>
      <c r="G1715" t="s">
        <v>2536</v>
      </c>
      <c r="H1715" t="s">
        <v>2537</v>
      </c>
      <c r="I1715" t="s">
        <v>2536</v>
      </c>
      <c r="J1715" s="1" t="str">
        <f>HYPERLINK("https://zfin.org/ZDB-GENE-030131-8901")</f>
        <v>https://zfin.org/ZDB-GENE-030131-8901</v>
      </c>
      <c r="K1715" t="s">
        <v>2538</v>
      </c>
    </row>
    <row r="1716" spans="1:11" x14ac:dyDescent="0.2">
      <c r="A1716">
        <v>6.5954646931179894E-11</v>
      </c>
      <c r="B1716">
        <v>0.58113642508174002</v>
      </c>
      <c r="C1716">
        <v>0.86699999999999999</v>
      </c>
      <c r="D1716">
        <v>0.46700000000000003</v>
      </c>
      <c r="E1716">
        <v>1.02117579843546E-6</v>
      </c>
      <c r="F1716">
        <v>2</v>
      </c>
      <c r="G1716" t="s">
        <v>4085</v>
      </c>
      <c r="H1716" t="s">
        <v>4086</v>
      </c>
      <c r="I1716" t="s">
        <v>4085</v>
      </c>
      <c r="J1716" s="1" t="str">
        <f>HYPERLINK("https://zfin.org/ZDB-GENE-060804-3")</f>
        <v>https://zfin.org/ZDB-GENE-060804-3</v>
      </c>
      <c r="K1716" t="s">
        <v>4087</v>
      </c>
    </row>
    <row r="1717" spans="1:11" x14ac:dyDescent="0.2">
      <c r="A1717">
        <v>6.7136068966471694E-11</v>
      </c>
      <c r="B1717">
        <v>0.50601324453074104</v>
      </c>
      <c r="C1717">
        <v>0.56699999999999995</v>
      </c>
      <c r="D1717">
        <v>0.20300000000000001</v>
      </c>
      <c r="E1717">
        <v>1.0394677558078801E-6</v>
      </c>
      <c r="F1717">
        <v>2</v>
      </c>
      <c r="G1717" t="s">
        <v>4088</v>
      </c>
      <c r="H1717" t="s">
        <v>4089</v>
      </c>
      <c r="I1717" t="s">
        <v>4088</v>
      </c>
      <c r="J1717" s="1" t="str">
        <f>HYPERLINK("https://zfin.org/ZDB-GENE-030729-30")</f>
        <v>https://zfin.org/ZDB-GENE-030729-30</v>
      </c>
      <c r="K1717" t="s">
        <v>4090</v>
      </c>
    </row>
    <row r="1718" spans="1:11" x14ac:dyDescent="0.2">
      <c r="A1718">
        <v>6.9954612452999195E-11</v>
      </c>
      <c r="B1718">
        <v>0.45811227903030599</v>
      </c>
      <c r="C1718">
        <v>0.35</v>
      </c>
      <c r="D1718">
        <v>8.8999999999999996E-2</v>
      </c>
      <c r="E1718">
        <v>1.08310726460979E-6</v>
      </c>
      <c r="F1718">
        <v>2</v>
      </c>
      <c r="G1718" t="s">
        <v>4091</v>
      </c>
      <c r="H1718" t="s">
        <v>4092</v>
      </c>
      <c r="I1718" t="s">
        <v>4091</v>
      </c>
      <c r="J1718" s="1" t="str">
        <f>HYPERLINK("https://zfin.org/ZDB-GENE-030131-5417")</f>
        <v>https://zfin.org/ZDB-GENE-030131-5417</v>
      </c>
      <c r="K1718" t="s">
        <v>4093</v>
      </c>
    </row>
    <row r="1719" spans="1:11" x14ac:dyDescent="0.2">
      <c r="A1719">
        <v>7.0541314895040602E-11</v>
      </c>
      <c r="B1719">
        <v>0.62870321835753396</v>
      </c>
      <c r="C1719">
        <v>0.9</v>
      </c>
      <c r="D1719">
        <v>0.53200000000000003</v>
      </c>
      <c r="E1719">
        <v>1.09219117851991E-6</v>
      </c>
      <c r="F1719">
        <v>2</v>
      </c>
      <c r="G1719" t="s">
        <v>2177</v>
      </c>
      <c r="H1719" t="s">
        <v>2178</v>
      </c>
      <c r="I1719" t="s">
        <v>2177</v>
      </c>
      <c r="J1719" s="1" t="str">
        <f>HYPERLINK("https://zfin.org/")</f>
        <v>https://zfin.org/</v>
      </c>
      <c r="K1719" t="s">
        <v>2179</v>
      </c>
    </row>
    <row r="1720" spans="1:11" x14ac:dyDescent="0.2">
      <c r="A1720">
        <v>8.6255630133850404E-11</v>
      </c>
      <c r="B1720">
        <v>0.58799695877179803</v>
      </c>
      <c r="C1720">
        <v>0.9</v>
      </c>
      <c r="D1720">
        <v>0.51700000000000002</v>
      </c>
      <c r="E1720">
        <v>1.3354959213624099E-6</v>
      </c>
      <c r="F1720">
        <v>2</v>
      </c>
      <c r="G1720" t="s">
        <v>4094</v>
      </c>
      <c r="H1720" t="s">
        <v>4095</v>
      </c>
      <c r="I1720" t="s">
        <v>4094</v>
      </c>
      <c r="J1720" s="1" t="str">
        <f>HYPERLINK("https://zfin.org/ZDB-GENE-071005-2")</f>
        <v>https://zfin.org/ZDB-GENE-071005-2</v>
      </c>
      <c r="K1720" t="s">
        <v>4096</v>
      </c>
    </row>
    <row r="1721" spans="1:11" x14ac:dyDescent="0.2">
      <c r="A1721">
        <v>8.8157757537868804E-11</v>
      </c>
      <c r="B1721">
        <v>0.66874152659546804</v>
      </c>
      <c r="C1721">
        <v>0.71699999999999997</v>
      </c>
      <c r="D1721">
        <v>0.32200000000000001</v>
      </c>
      <c r="E1721">
        <v>1.36494655995882E-6</v>
      </c>
      <c r="F1721">
        <v>2</v>
      </c>
      <c r="G1721" t="s">
        <v>2886</v>
      </c>
      <c r="H1721" t="s">
        <v>2887</v>
      </c>
      <c r="I1721" t="s">
        <v>2886</v>
      </c>
      <c r="J1721" s="1" t="str">
        <f>HYPERLINK("https://zfin.org/ZDB-GENE-030131-4437")</f>
        <v>https://zfin.org/ZDB-GENE-030131-4437</v>
      </c>
      <c r="K1721" t="s">
        <v>2888</v>
      </c>
    </row>
    <row r="1722" spans="1:11" x14ac:dyDescent="0.2">
      <c r="A1722">
        <v>9.0726789041293406E-11</v>
      </c>
      <c r="B1722">
        <v>0.28504766384824998</v>
      </c>
      <c r="C1722">
        <v>0.13300000000000001</v>
      </c>
      <c r="D1722">
        <v>1.4999999999999999E-2</v>
      </c>
      <c r="E1722">
        <v>1.4047228747263501E-6</v>
      </c>
      <c r="F1722">
        <v>2</v>
      </c>
      <c r="G1722" t="s">
        <v>4097</v>
      </c>
      <c r="H1722" t="s">
        <v>4098</v>
      </c>
      <c r="I1722" t="s">
        <v>4097</v>
      </c>
      <c r="J1722" s="1" t="str">
        <f>HYPERLINK("https://zfin.org/ZDB-GENE-101007-3")</f>
        <v>https://zfin.org/ZDB-GENE-101007-3</v>
      </c>
      <c r="K1722" t="s">
        <v>4099</v>
      </c>
    </row>
    <row r="1723" spans="1:11" x14ac:dyDescent="0.2">
      <c r="A1723">
        <v>9.1279796523076196E-11</v>
      </c>
      <c r="B1723">
        <v>0.39897941482634303</v>
      </c>
      <c r="C1723">
        <v>0.23300000000000001</v>
      </c>
      <c r="D1723">
        <v>4.3999999999999997E-2</v>
      </c>
      <c r="E1723">
        <v>1.4132850895667901E-6</v>
      </c>
      <c r="F1723">
        <v>2</v>
      </c>
      <c r="G1723" t="s">
        <v>1588</v>
      </c>
      <c r="H1723" t="s">
        <v>1589</v>
      </c>
      <c r="I1723" t="s">
        <v>1588</v>
      </c>
      <c r="J1723" s="1" t="str">
        <f>HYPERLINK("https://zfin.org/ZDB-GENE-081030-16")</f>
        <v>https://zfin.org/ZDB-GENE-081030-16</v>
      </c>
      <c r="K1723" t="s">
        <v>1590</v>
      </c>
    </row>
    <row r="1724" spans="1:11" x14ac:dyDescent="0.2">
      <c r="A1724">
        <v>9.47015103244629E-11</v>
      </c>
      <c r="B1724">
        <v>0.53204683884514103</v>
      </c>
      <c r="C1724">
        <v>0.3</v>
      </c>
      <c r="D1724">
        <v>7.0000000000000007E-2</v>
      </c>
      <c r="E1724">
        <v>1.4662634843536599E-6</v>
      </c>
      <c r="F1724">
        <v>2</v>
      </c>
      <c r="G1724" t="s">
        <v>76</v>
      </c>
      <c r="H1724" t="s">
        <v>77</v>
      </c>
      <c r="I1724" t="s">
        <v>76</v>
      </c>
      <c r="J1724" s="1" t="str">
        <f>HYPERLINK("https://zfin.org/ZDB-GENE-070820-17")</f>
        <v>https://zfin.org/ZDB-GENE-070820-17</v>
      </c>
      <c r="K1724" t="s">
        <v>78</v>
      </c>
    </row>
    <row r="1725" spans="1:11" x14ac:dyDescent="0.2">
      <c r="A1725">
        <v>9.7017440913092302E-11</v>
      </c>
      <c r="B1725">
        <v>0.60646754818297699</v>
      </c>
      <c r="C1725">
        <v>0.86699999999999999</v>
      </c>
      <c r="D1725">
        <v>0.53900000000000003</v>
      </c>
      <c r="E1725">
        <v>1.50212103765741E-6</v>
      </c>
      <c r="F1725">
        <v>2</v>
      </c>
      <c r="G1725" t="s">
        <v>2555</v>
      </c>
      <c r="H1725" t="s">
        <v>2556</v>
      </c>
      <c r="I1725" t="s">
        <v>2555</v>
      </c>
      <c r="J1725" s="1" t="str">
        <f>HYPERLINK("https://zfin.org/ZDB-GENE-040426-1658")</f>
        <v>https://zfin.org/ZDB-GENE-040426-1658</v>
      </c>
      <c r="K1725" t="s">
        <v>2557</v>
      </c>
    </row>
    <row r="1726" spans="1:11" x14ac:dyDescent="0.2">
      <c r="A1726">
        <v>1.00874982300247E-10</v>
      </c>
      <c r="B1726">
        <v>0.34401150769243199</v>
      </c>
      <c r="C1726">
        <v>0.317</v>
      </c>
      <c r="D1726">
        <v>7.4999999999999997E-2</v>
      </c>
      <c r="E1726">
        <v>1.5618473509547301E-6</v>
      </c>
      <c r="F1726">
        <v>2</v>
      </c>
      <c r="G1726" t="s">
        <v>1886</v>
      </c>
      <c r="H1726" t="s">
        <v>1887</v>
      </c>
      <c r="I1726" t="s">
        <v>1886</v>
      </c>
      <c r="J1726" s="1" t="str">
        <f>HYPERLINK("https://zfin.org/ZDB-GENE-040426-1604")</f>
        <v>https://zfin.org/ZDB-GENE-040426-1604</v>
      </c>
      <c r="K1726" t="s">
        <v>1888</v>
      </c>
    </row>
    <row r="1727" spans="1:11" x14ac:dyDescent="0.2">
      <c r="A1727">
        <v>1.07398649404684E-10</v>
      </c>
      <c r="B1727">
        <v>0.491685029244886</v>
      </c>
      <c r="C1727">
        <v>0.5</v>
      </c>
      <c r="D1727">
        <v>0.16600000000000001</v>
      </c>
      <c r="E1727">
        <v>1.6628532887327201E-6</v>
      </c>
      <c r="F1727">
        <v>2</v>
      </c>
      <c r="G1727" t="s">
        <v>926</v>
      </c>
      <c r="H1727" t="s">
        <v>927</v>
      </c>
      <c r="I1727" t="s">
        <v>926</v>
      </c>
      <c r="J1727" s="1" t="str">
        <f>HYPERLINK("https://zfin.org/ZDB-GENE-040426-1310")</f>
        <v>https://zfin.org/ZDB-GENE-040426-1310</v>
      </c>
      <c r="K1727" t="s">
        <v>928</v>
      </c>
    </row>
    <row r="1728" spans="1:11" x14ac:dyDescent="0.2">
      <c r="A1728">
        <v>1.11190679474807E-10</v>
      </c>
      <c r="B1728">
        <v>0.55547553103915503</v>
      </c>
      <c r="C1728">
        <v>0.86699999999999999</v>
      </c>
      <c r="D1728">
        <v>0.60399999999999998</v>
      </c>
      <c r="E1728">
        <v>1.7215652903084299E-6</v>
      </c>
      <c r="F1728">
        <v>2</v>
      </c>
      <c r="G1728" t="s">
        <v>4100</v>
      </c>
      <c r="H1728" t="s">
        <v>4101</v>
      </c>
      <c r="I1728" t="s">
        <v>4100</v>
      </c>
      <c r="J1728" s="1" t="str">
        <f>HYPERLINK("https://zfin.org/ZDB-GENE-031113-14")</f>
        <v>https://zfin.org/ZDB-GENE-031113-14</v>
      </c>
      <c r="K1728" t="s">
        <v>4102</v>
      </c>
    </row>
    <row r="1729" spans="1:11" x14ac:dyDescent="0.2">
      <c r="A1729">
        <v>1.1411488526303299E-10</v>
      </c>
      <c r="B1729">
        <v>-1.0867683045797001</v>
      </c>
      <c r="C1729">
        <v>0.73299999999999998</v>
      </c>
      <c r="D1729">
        <v>0.85499999999999998</v>
      </c>
      <c r="E1729">
        <v>1.76684076852753E-6</v>
      </c>
      <c r="F1729">
        <v>2</v>
      </c>
      <c r="G1729" t="s">
        <v>2072</v>
      </c>
      <c r="H1729" t="s">
        <v>2073</v>
      </c>
      <c r="I1729" t="s">
        <v>2072</v>
      </c>
      <c r="J1729" s="1" t="str">
        <f>HYPERLINK("https://zfin.org/ZDB-GENE-030131-8599")</f>
        <v>https://zfin.org/ZDB-GENE-030131-8599</v>
      </c>
      <c r="K1729" t="s">
        <v>2074</v>
      </c>
    </row>
    <row r="1730" spans="1:11" x14ac:dyDescent="0.2">
      <c r="A1730">
        <v>1.19531272672695E-10</v>
      </c>
      <c r="B1730">
        <v>0.37178416390375602</v>
      </c>
      <c r="C1730">
        <v>0.23300000000000001</v>
      </c>
      <c r="D1730">
        <v>4.4999999999999998E-2</v>
      </c>
      <c r="E1730">
        <v>1.8507026947913401E-6</v>
      </c>
      <c r="F1730">
        <v>2</v>
      </c>
      <c r="G1730" t="s">
        <v>510</v>
      </c>
      <c r="H1730" t="s">
        <v>511</v>
      </c>
      <c r="I1730" t="s">
        <v>510</v>
      </c>
      <c r="J1730" s="1" t="str">
        <f>HYPERLINK("https://zfin.org/ZDB-GENE-130531-20")</f>
        <v>https://zfin.org/ZDB-GENE-130531-20</v>
      </c>
      <c r="K1730" t="s">
        <v>512</v>
      </c>
    </row>
    <row r="1731" spans="1:11" x14ac:dyDescent="0.2">
      <c r="A1731">
        <v>1.25887040587271E-10</v>
      </c>
      <c r="B1731">
        <v>0.325703017159439</v>
      </c>
      <c r="C1731">
        <v>0.217</v>
      </c>
      <c r="D1731">
        <v>3.9E-2</v>
      </c>
      <c r="E1731">
        <v>1.94910904941272E-6</v>
      </c>
      <c r="F1731">
        <v>2</v>
      </c>
      <c r="G1731" t="s">
        <v>1928</v>
      </c>
      <c r="H1731" t="s">
        <v>1929</v>
      </c>
      <c r="I1731" t="s">
        <v>1928</v>
      </c>
      <c r="J1731" s="1" t="str">
        <f>HYPERLINK("https://zfin.org/ZDB-GENE-030219-90")</f>
        <v>https://zfin.org/ZDB-GENE-030219-90</v>
      </c>
      <c r="K1731" t="s">
        <v>1930</v>
      </c>
    </row>
    <row r="1732" spans="1:11" x14ac:dyDescent="0.2">
      <c r="A1732">
        <v>1.29354545025123E-10</v>
      </c>
      <c r="B1732">
        <v>0.32116172421945299</v>
      </c>
      <c r="C1732">
        <v>0.217</v>
      </c>
      <c r="D1732">
        <v>3.9E-2</v>
      </c>
      <c r="E1732">
        <v>2.0027964206239798E-6</v>
      </c>
      <c r="F1732">
        <v>2</v>
      </c>
      <c r="G1732" t="s">
        <v>477</v>
      </c>
      <c r="H1732" t="s">
        <v>478</v>
      </c>
      <c r="I1732" t="s">
        <v>477</v>
      </c>
      <c r="J1732" s="1" t="str">
        <f>HYPERLINK("https://zfin.org/ZDB-GENE-060929-556")</f>
        <v>https://zfin.org/ZDB-GENE-060929-556</v>
      </c>
      <c r="K1732" t="s">
        <v>479</v>
      </c>
    </row>
    <row r="1733" spans="1:11" x14ac:dyDescent="0.2">
      <c r="A1733">
        <v>1.3147967243678999E-10</v>
      </c>
      <c r="B1733">
        <v>0.29554948652614899</v>
      </c>
      <c r="C1733">
        <v>0.217</v>
      </c>
      <c r="D1733">
        <v>3.9E-2</v>
      </c>
      <c r="E1733">
        <v>2.0356997683388198E-6</v>
      </c>
      <c r="F1733">
        <v>2</v>
      </c>
      <c r="G1733" t="s">
        <v>4103</v>
      </c>
      <c r="H1733" t="s">
        <v>4104</v>
      </c>
      <c r="I1733" t="s">
        <v>4103</v>
      </c>
      <c r="J1733" s="1" t="str">
        <f>HYPERLINK("https://zfin.org/ZDB-GENE-040718-155")</f>
        <v>https://zfin.org/ZDB-GENE-040718-155</v>
      </c>
      <c r="K1733" t="s">
        <v>4105</v>
      </c>
    </row>
    <row r="1734" spans="1:11" x14ac:dyDescent="0.2">
      <c r="A1734">
        <v>1.3151013762915501E-10</v>
      </c>
      <c r="B1734">
        <v>0.60939451290012003</v>
      </c>
      <c r="C1734">
        <v>0.58299999999999996</v>
      </c>
      <c r="D1734">
        <v>0.23300000000000001</v>
      </c>
      <c r="E1734">
        <v>2.0361714609122002E-6</v>
      </c>
      <c r="F1734">
        <v>2</v>
      </c>
      <c r="G1734" t="s">
        <v>4106</v>
      </c>
      <c r="H1734" t="s">
        <v>4107</v>
      </c>
      <c r="I1734" t="s">
        <v>4106</v>
      </c>
      <c r="J1734" s="1" t="str">
        <f>HYPERLINK("https://zfin.org/ZDB-GENE-070410-56")</f>
        <v>https://zfin.org/ZDB-GENE-070410-56</v>
      </c>
      <c r="K1734" t="s">
        <v>4108</v>
      </c>
    </row>
    <row r="1735" spans="1:11" x14ac:dyDescent="0.2">
      <c r="A1735">
        <v>1.3911338713219E-10</v>
      </c>
      <c r="B1735">
        <v>0.415223801933298</v>
      </c>
      <c r="C1735">
        <v>0.433</v>
      </c>
      <c r="D1735">
        <v>0.126</v>
      </c>
      <c r="E1735">
        <v>2.1538925729677E-6</v>
      </c>
      <c r="F1735">
        <v>2</v>
      </c>
      <c r="G1735" t="s">
        <v>4109</v>
      </c>
      <c r="H1735" t="s">
        <v>4110</v>
      </c>
      <c r="I1735" t="s">
        <v>4109</v>
      </c>
      <c r="J1735" s="1" t="str">
        <f>HYPERLINK("https://zfin.org/ZDB-GENE-030109-2")</f>
        <v>https://zfin.org/ZDB-GENE-030109-2</v>
      </c>
      <c r="K1735" t="s">
        <v>4111</v>
      </c>
    </row>
    <row r="1736" spans="1:11" x14ac:dyDescent="0.2">
      <c r="A1736">
        <v>1.40461463304062E-10</v>
      </c>
      <c r="B1736">
        <v>0.26327022475001499</v>
      </c>
      <c r="C1736">
        <v>0.11700000000000001</v>
      </c>
      <c r="D1736">
        <v>1.2E-2</v>
      </c>
      <c r="E1736">
        <v>2.1747648363367899E-6</v>
      </c>
      <c r="F1736">
        <v>2</v>
      </c>
      <c r="G1736" t="s">
        <v>4112</v>
      </c>
      <c r="H1736" t="s">
        <v>4113</v>
      </c>
      <c r="I1736" t="s">
        <v>4112</v>
      </c>
      <c r="J1736" s="1" t="str">
        <f>HYPERLINK("https://zfin.org/ZDB-GENE-081105-169")</f>
        <v>https://zfin.org/ZDB-GENE-081105-169</v>
      </c>
      <c r="K1736" t="s">
        <v>4114</v>
      </c>
    </row>
    <row r="1737" spans="1:11" x14ac:dyDescent="0.2">
      <c r="A1737">
        <v>1.4174826128466999E-10</v>
      </c>
      <c r="B1737">
        <v>0.33777593848117199</v>
      </c>
      <c r="C1737">
        <v>0.11700000000000001</v>
      </c>
      <c r="D1737">
        <v>1.2E-2</v>
      </c>
      <c r="E1737">
        <v>2.1946883294705402E-6</v>
      </c>
      <c r="F1737">
        <v>2</v>
      </c>
      <c r="G1737" t="s">
        <v>4115</v>
      </c>
      <c r="H1737" t="s">
        <v>4116</v>
      </c>
      <c r="I1737" t="s">
        <v>4115</v>
      </c>
      <c r="J1737" s="1" t="str">
        <f>HYPERLINK("https://zfin.org/ZDB-GENE-030131-7745")</f>
        <v>https://zfin.org/ZDB-GENE-030131-7745</v>
      </c>
      <c r="K1737" t="s">
        <v>4117</v>
      </c>
    </row>
    <row r="1738" spans="1:11" x14ac:dyDescent="0.2">
      <c r="A1738">
        <v>1.42954892683885E-10</v>
      </c>
      <c r="B1738">
        <v>0.32227113254557899</v>
      </c>
      <c r="C1738">
        <v>0.217</v>
      </c>
      <c r="D1738">
        <v>3.7999999999999999E-2</v>
      </c>
      <c r="E1738">
        <v>2.21337060342458E-6</v>
      </c>
      <c r="F1738">
        <v>2</v>
      </c>
      <c r="G1738" t="s">
        <v>4118</v>
      </c>
      <c r="H1738" t="s">
        <v>4119</v>
      </c>
      <c r="I1738" t="s">
        <v>4118</v>
      </c>
      <c r="J1738" s="1" t="str">
        <f>HYPERLINK("https://zfin.org/ZDB-GENE-050417-67")</f>
        <v>https://zfin.org/ZDB-GENE-050417-67</v>
      </c>
      <c r="K1738" t="s">
        <v>4120</v>
      </c>
    </row>
    <row r="1739" spans="1:11" x14ac:dyDescent="0.2">
      <c r="A1739">
        <v>1.44834174223985E-10</v>
      </c>
      <c r="B1739">
        <v>0.459990314150377</v>
      </c>
      <c r="C1739">
        <v>0.217</v>
      </c>
      <c r="D1739">
        <v>0.04</v>
      </c>
      <c r="E1739">
        <v>2.24246751950995E-6</v>
      </c>
      <c r="F1739">
        <v>2</v>
      </c>
      <c r="G1739" t="s">
        <v>1585</v>
      </c>
      <c r="H1739" t="s">
        <v>1586</v>
      </c>
      <c r="I1739" t="s">
        <v>1585</v>
      </c>
      <c r="J1739" s="1" t="str">
        <f>HYPERLINK("https://zfin.org/ZDB-GENE-081104-216")</f>
        <v>https://zfin.org/ZDB-GENE-081104-216</v>
      </c>
      <c r="K1739" t="s">
        <v>1587</v>
      </c>
    </row>
    <row r="1740" spans="1:11" x14ac:dyDescent="0.2">
      <c r="A1740">
        <v>1.6354784103841901E-10</v>
      </c>
      <c r="B1740">
        <v>1.02334302245465</v>
      </c>
      <c r="C1740">
        <v>0.66700000000000004</v>
      </c>
      <c r="D1740">
        <v>0.32200000000000001</v>
      </c>
      <c r="E1740">
        <v>2.5322112227978402E-6</v>
      </c>
      <c r="F1740">
        <v>2</v>
      </c>
      <c r="G1740" t="s">
        <v>2443</v>
      </c>
      <c r="H1740" t="s">
        <v>2444</v>
      </c>
      <c r="I1740" t="s">
        <v>2443</v>
      </c>
      <c r="J1740" s="1" t="str">
        <f>HYPERLINK("https://zfin.org/ZDB-GENE-050522-159")</f>
        <v>https://zfin.org/ZDB-GENE-050522-159</v>
      </c>
      <c r="K1740" t="s">
        <v>2445</v>
      </c>
    </row>
    <row r="1741" spans="1:11" x14ac:dyDescent="0.2">
      <c r="A1741">
        <v>1.6665300226507499E-10</v>
      </c>
      <c r="B1741">
        <v>0.55635674044603101</v>
      </c>
      <c r="C1741">
        <v>0.55000000000000004</v>
      </c>
      <c r="D1741">
        <v>0.19900000000000001</v>
      </c>
      <c r="E1741">
        <v>2.58028843407016E-6</v>
      </c>
      <c r="F1741">
        <v>2</v>
      </c>
      <c r="G1741" t="s">
        <v>2242</v>
      </c>
      <c r="H1741" t="s">
        <v>2243</v>
      </c>
      <c r="I1741" t="s">
        <v>2242</v>
      </c>
      <c r="J1741" s="1" t="str">
        <f>HYPERLINK("https://zfin.org/ZDB-GENE-040718-150")</f>
        <v>https://zfin.org/ZDB-GENE-040718-150</v>
      </c>
      <c r="K1741" t="s">
        <v>2244</v>
      </c>
    </row>
    <row r="1742" spans="1:11" x14ac:dyDescent="0.2">
      <c r="A1742">
        <v>1.6669616592232399E-10</v>
      </c>
      <c r="B1742">
        <v>1.20501743674071</v>
      </c>
      <c r="C1742">
        <v>0.96699999999999997</v>
      </c>
      <c r="D1742">
        <v>0.76900000000000002</v>
      </c>
      <c r="E1742">
        <v>2.5809567369753399E-6</v>
      </c>
      <c r="F1742">
        <v>2</v>
      </c>
      <c r="G1742" t="s">
        <v>4121</v>
      </c>
      <c r="H1742" t="s">
        <v>4122</v>
      </c>
      <c r="I1742" t="s">
        <v>4121</v>
      </c>
      <c r="J1742" s="1" t="str">
        <f>HYPERLINK("https://zfin.org/ZDB-GENE-051030-81")</f>
        <v>https://zfin.org/ZDB-GENE-051030-81</v>
      </c>
      <c r="K1742" t="s">
        <v>4123</v>
      </c>
    </row>
    <row r="1743" spans="1:11" x14ac:dyDescent="0.2">
      <c r="A1743">
        <v>1.67296537956413E-10</v>
      </c>
      <c r="B1743">
        <v>0.425564840891415</v>
      </c>
      <c r="C1743">
        <v>0.317</v>
      </c>
      <c r="D1743">
        <v>7.6999999999999999E-2</v>
      </c>
      <c r="E1743">
        <v>2.5902522971791501E-6</v>
      </c>
      <c r="F1743">
        <v>2</v>
      </c>
      <c r="G1743" t="s">
        <v>4124</v>
      </c>
      <c r="H1743" t="s">
        <v>4125</v>
      </c>
      <c r="I1743" t="s">
        <v>4124</v>
      </c>
      <c r="J1743" s="1" t="str">
        <f>HYPERLINK("https://zfin.org/ZDB-GENE-040426-1811")</f>
        <v>https://zfin.org/ZDB-GENE-040426-1811</v>
      </c>
      <c r="K1743" t="s">
        <v>4126</v>
      </c>
    </row>
    <row r="1744" spans="1:11" x14ac:dyDescent="0.2">
      <c r="A1744">
        <v>1.7564786227613E-10</v>
      </c>
      <c r="B1744">
        <v>0.27177847122676502</v>
      </c>
      <c r="C1744">
        <v>0.183</v>
      </c>
      <c r="D1744">
        <v>2.9000000000000001E-2</v>
      </c>
      <c r="E1744">
        <v>2.7195558516213201E-6</v>
      </c>
      <c r="F1744">
        <v>2</v>
      </c>
      <c r="G1744" t="s">
        <v>2093</v>
      </c>
      <c r="H1744" t="s">
        <v>2094</v>
      </c>
      <c r="I1744" t="s">
        <v>2093</v>
      </c>
      <c r="J1744" s="1" t="str">
        <f>HYPERLINK("https://zfin.org/ZDB-GENE-120215-114")</f>
        <v>https://zfin.org/ZDB-GENE-120215-114</v>
      </c>
      <c r="K1744" t="s">
        <v>2095</v>
      </c>
    </row>
    <row r="1745" spans="1:11" x14ac:dyDescent="0.2">
      <c r="A1745">
        <v>1.7929077884923801E-10</v>
      </c>
      <c r="B1745">
        <v>0.48316749848194601</v>
      </c>
      <c r="C1745">
        <v>0.35</v>
      </c>
      <c r="D1745">
        <v>9.4E-2</v>
      </c>
      <c r="E1745">
        <v>2.7759591289227498E-6</v>
      </c>
      <c r="F1745">
        <v>2</v>
      </c>
      <c r="G1745" t="s">
        <v>4127</v>
      </c>
      <c r="H1745" t="s">
        <v>4128</v>
      </c>
      <c r="I1745" t="s">
        <v>4127</v>
      </c>
      <c r="J1745" s="1" t="str">
        <f>HYPERLINK("https://zfin.org/ZDB-GENE-040718-47")</f>
        <v>https://zfin.org/ZDB-GENE-040718-47</v>
      </c>
      <c r="K1745" t="s">
        <v>4129</v>
      </c>
    </row>
    <row r="1746" spans="1:11" x14ac:dyDescent="0.2">
      <c r="A1746">
        <v>1.9285780067944201E-10</v>
      </c>
      <c r="B1746">
        <v>0.49930651987631902</v>
      </c>
      <c r="C1746">
        <v>0.93300000000000005</v>
      </c>
      <c r="D1746">
        <v>0.73899999999999999</v>
      </c>
      <c r="E1746">
        <v>2.9860173279198E-6</v>
      </c>
      <c r="F1746">
        <v>2</v>
      </c>
      <c r="G1746" t="s">
        <v>3077</v>
      </c>
      <c r="H1746" t="s">
        <v>3078</v>
      </c>
      <c r="I1746" t="s">
        <v>3077</v>
      </c>
      <c r="J1746" s="1" t="str">
        <f>HYPERLINK("https://zfin.org/ZDB-GENE-020814-1")</f>
        <v>https://zfin.org/ZDB-GENE-020814-1</v>
      </c>
      <c r="K1746" t="s">
        <v>3079</v>
      </c>
    </row>
    <row r="1747" spans="1:11" x14ac:dyDescent="0.2">
      <c r="A1747">
        <v>1.9399948161239201E-10</v>
      </c>
      <c r="B1747">
        <v>0.56506535905357003</v>
      </c>
      <c r="C1747">
        <v>0.73299999999999998</v>
      </c>
      <c r="D1747">
        <v>0.34</v>
      </c>
      <c r="E1747">
        <v>3.0036939738046701E-6</v>
      </c>
      <c r="F1747">
        <v>2</v>
      </c>
      <c r="G1747" t="s">
        <v>4130</v>
      </c>
      <c r="H1747" t="s">
        <v>4131</v>
      </c>
      <c r="I1747" t="s">
        <v>4130</v>
      </c>
      <c r="J1747" s="1" t="str">
        <f>HYPERLINK("https://zfin.org/ZDB-GENE-041216-1")</f>
        <v>https://zfin.org/ZDB-GENE-041216-1</v>
      </c>
      <c r="K1747" t="s">
        <v>4132</v>
      </c>
    </row>
    <row r="1748" spans="1:11" x14ac:dyDescent="0.2">
      <c r="A1748">
        <v>1.96535623970362E-10</v>
      </c>
      <c r="B1748">
        <v>0.39818618276193202</v>
      </c>
      <c r="C1748">
        <v>0.46700000000000003</v>
      </c>
      <c r="D1748">
        <v>0.14499999999999999</v>
      </c>
      <c r="E1748">
        <v>3.0429610659331102E-6</v>
      </c>
      <c r="F1748">
        <v>2</v>
      </c>
      <c r="G1748" t="s">
        <v>4133</v>
      </c>
      <c r="H1748" t="s">
        <v>4134</v>
      </c>
      <c r="I1748" t="s">
        <v>4133</v>
      </c>
      <c r="J1748" s="1" t="str">
        <f>HYPERLINK("https://zfin.org/ZDB-GENE-030131-8680")</f>
        <v>https://zfin.org/ZDB-GENE-030131-8680</v>
      </c>
      <c r="K1748" t="s">
        <v>4135</v>
      </c>
    </row>
    <row r="1749" spans="1:11" x14ac:dyDescent="0.2">
      <c r="A1749">
        <v>1.96554583130962E-10</v>
      </c>
      <c r="B1749">
        <v>0.33409491183436502</v>
      </c>
      <c r="C1749">
        <v>0.26700000000000002</v>
      </c>
      <c r="D1749">
        <v>5.7000000000000002E-2</v>
      </c>
      <c r="E1749">
        <v>3.0432546106166798E-6</v>
      </c>
      <c r="F1749">
        <v>2</v>
      </c>
      <c r="G1749" t="s">
        <v>228</v>
      </c>
      <c r="H1749" t="s">
        <v>229</v>
      </c>
      <c r="I1749" t="s">
        <v>228</v>
      </c>
      <c r="J1749" s="1" t="str">
        <f>HYPERLINK("https://zfin.org/ZDB-GENE-060929-1178")</f>
        <v>https://zfin.org/ZDB-GENE-060929-1178</v>
      </c>
      <c r="K1749" t="s">
        <v>230</v>
      </c>
    </row>
    <row r="1750" spans="1:11" x14ac:dyDescent="0.2">
      <c r="A1750">
        <v>2.12344183937523E-10</v>
      </c>
      <c r="B1750">
        <v>-1.39405321232059</v>
      </c>
      <c r="C1750">
        <v>0.15</v>
      </c>
      <c r="D1750">
        <v>0.54400000000000004</v>
      </c>
      <c r="E1750">
        <v>3.28772499990466E-6</v>
      </c>
      <c r="F1750">
        <v>2</v>
      </c>
      <c r="G1750" t="s">
        <v>2975</v>
      </c>
      <c r="H1750" t="s">
        <v>2976</v>
      </c>
      <c r="I1750" t="s">
        <v>2975</v>
      </c>
      <c r="J1750" s="1" t="str">
        <f>HYPERLINK("https://zfin.org/ZDB-GENE-030131-9")</f>
        <v>https://zfin.org/ZDB-GENE-030131-9</v>
      </c>
      <c r="K1750" t="s">
        <v>2977</v>
      </c>
    </row>
    <row r="1751" spans="1:11" x14ac:dyDescent="0.2">
      <c r="A1751">
        <v>2.15470496055299E-10</v>
      </c>
      <c r="B1751">
        <v>0.45818244776261402</v>
      </c>
      <c r="C1751">
        <v>0.36699999999999999</v>
      </c>
      <c r="D1751">
        <v>0.1</v>
      </c>
      <c r="E1751">
        <v>3.3361296904241899E-6</v>
      </c>
      <c r="F1751">
        <v>2</v>
      </c>
      <c r="G1751" t="s">
        <v>4136</v>
      </c>
      <c r="H1751" t="s">
        <v>4137</v>
      </c>
      <c r="I1751" t="s">
        <v>4136</v>
      </c>
      <c r="J1751" s="1" t="str">
        <f>HYPERLINK("https://zfin.org/ZDB-GENE-040715-6")</f>
        <v>https://zfin.org/ZDB-GENE-040715-6</v>
      </c>
      <c r="K1751" t="s">
        <v>4138</v>
      </c>
    </row>
    <row r="1752" spans="1:11" x14ac:dyDescent="0.2">
      <c r="A1752">
        <v>2.16881344394323E-10</v>
      </c>
      <c r="B1752">
        <v>0.64920967419572295</v>
      </c>
      <c r="C1752">
        <v>0.88300000000000001</v>
      </c>
      <c r="D1752">
        <v>0.504</v>
      </c>
      <c r="E1752">
        <v>3.35797385525731E-6</v>
      </c>
      <c r="F1752">
        <v>2</v>
      </c>
      <c r="G1752" t="s">
        <v>2105</v>
      </c>
      <c r="H1752" t="s">
        <v>2106</v>
      </c>
      <c r="I1752" t="s">
        <v>2105</v>
      </c>
      <c r="J1752" s="1" t="str">
        <f>HYPERLINK("https://zfin.org/ZDB-GENE-040801-18")</f>
        <v>https://zfin.org/ZDB-GENE-040801-18</v>
      </c>
      <c r="K1752" t="s">
        <v>2107</v>
      </c>
    </row>
    <row r="1753" spans="1:11" x14ac:dyDescent="0.2">
      <c r="A1753">
        <v>2.2048140524560499E-10</v>
      </c>
      <c r="B1753">
        <v>-2.6181662311267901</v>
      </c>
      <c r="C1753">
        <v>0.65</v>
      </c>
      <c r="D1753">
        <v>0.77900000000000003</v>
      </c>
      <c r="E1753">
        <v>3.4137135974177E-6</v>
      </c>
      <c r="F1753">
        <v>2</v>
      </c>
      <c r="G1753" t="s">
        <v>2969</v>
      </c>
      <c r="H1753" t="s">
        <v>2970</v>
      </c>
      <c r="I1753" t="s">
        <v>2969</v>
      </c>
      <c r="J1753" s="1" t="str">
        <f>HYPERLINK("https://zfin.org/ZDB-GENE-070705-532")</f>
        <v>https://zfin.org/ZDB-GENE-070705-532</v>
      </c>
      <c r="K1753" t="s">
        <v>2971</v>
      </c>
    </row>
    <row r="1754" spans="1:11" x14ac:dyDescent="0.2">
      <c r="A1754">
        <v>2.2744319696641701E-10</v>
      </c>
      <c r="B1754">
        <v>0.40337953635164697</v>
      </c>
      <c r="C1754">
        <v>0.26700000000000002</v>
      </c>
      <c r="D1754">
        <v>5.7000000000000002E-2</v>
      </c>
      <c r="E1754">
        <v>3.5215030186310402E-6</v>
      </c>
      <c r="F1754">
        <v>2</v>
      </c>
      <c r="G1754" t="s">
        <v>4139</v>
      </c>
      <c r="H1754" t="s">
        <v>4140</v>
      </c>
      <c r="I1754" t="s">
        <v>4139</v>
      </c>
      <c r="J1754" s="1" t="str">
        <f>HYPERLINK("https://zfin.org/")</f>
        <v>https://zfin.org/</v>
      </c>
      <c r="K1754" t="s">
        <v>4141</v>
      </c>
    </row>
    <row r="1755" spans="1:11" x14ac:dyDescent="0.2">
      <c r="A1755">
        <v>2.3332394763777002E-10</v>
      </c>
      <c r="B1755">
        <v>0.57529038715844305</v>
      </c>
      <c r="C1755">
        <v>0.9</v>
      </c>
      <c r="D1755">
        <v>0.55200000000000005</v>
      </c>
      <c r="E1755">
        <v>3.6125546812756001E-6</v>
      </c>
      <c r="F1755">
        <v>2</v>
      </c>
      <c r="G1755" t="s">
        <v>2527</v>
      </c>
      <c r="H1755" t="s">
        <v>2528</v>
      </c>
      <c r="I1755" t="s">
        <v>2527</v>
      </c>
      <c r="J1755" s="1" t="str">
        <f>HYPERLINK("https://zfin.org/ZDB-GENE-081022-15")</f>
        <v>https://zfin.org/ZDB-GENE-081022-15</v>
      </c>
      <c r="K1755" t="s">
        <v>2529</v>
      </c>
    </row>
    <row r="1756" spans="1:11" x14ac:dyDescent="0.2">
      <c r="A1756">
        <v>2.4670941728909098E-10</v>
      </c>
      <c r="B1756">
        <v>0.509447942786042</v>
      </c>
      <c r="C1756">
        <v>0.68300000000000005</v>
      </c>
      <c r="D1756">
        <v>0.29399999999999998</v>
      </c>
      <c r="E1756">
        <v>3.8198019078869999E-6</v>
      </c>
      <c r="F1756">
        <v>2</v>
      </c>
      <c r="G1756" t="s">
        <v>4142</v>
      </c>
      <c r="H1756" t="s">
        <v>4143</v>
      </c>
      <c r="I1756" t="s">
        <v>4142</v>
      </c>
      <c r="J1756" s="1" t="str">
        <f>HYPERLINK("https://zfin.org/ZDB-GENE-050417-274")</f>
        <v>https://zfin.org/ZDB-GENE-050417-274</v>
      </c>
      <c r="K1756" t="s">
        <v>4144</v>
      </c>
    </row>
    <row r="1757" spans="1:11" x14ac:dyDescent="0.2">
      <c r="A1757">
        <v>2.51204761762481E-10</v>
      </c>
      <c r="B1757">
        <v>0.54982623449507895</v>
      </c>
      <c r="C1757">
        <v>0.56699999999999995</v>
      </c>
      <c r="D1757">
        <v>0.218</v>
      </c>
      <c r="E1757">
        <v>3.8894033263684898E-6</v>
      </c>
      <c r="F1757">
        <v>2</v>
      </c>
      <c r="G1757" t="s">
        <v>669</v>
      </c>
      <c r="H1757" t="s">
        <v>670</v>
      </c>
      <c r="I1757" t="s">
        <v>669</v>
      </c>
      <c r="J1757" s="1" t="str">
        <f>HYPERLINK("https://zfin.org/ZDB-GENE-020419-11")</f>
        <v>https://zfin.org/ZDB-GENE-020419-11</v>
      </c>
      <c r="K1757" t="s">
        <v>671</v>
      </c>
    </row>
    <row r="1758" spans="1:11" x14ac:dyDescent="0.2">
      <c r="A1758">
        <v>2.6912662312034801E-10</v>
      </c>
      <c r="B1758">
        <v>0.25743940690712103</v>
      </c>
      <c r="C1758">
        <v>0.16700000000000001</v>
      </c>
      <c r="D1758">
        <v>2.5000000000000001E-2</v>
      </c>
      <c r="E1758">
        <v>4.1668875057723498E-6</v>
      </c>
      <c r="F1758">
        <v>2</v>
      </c>
      <c r="G1758" t="s">
        <v>1000</v>
      </c>
      <c r="H1758" t="s">
        <v>1001</v>
      </c>
      <c r="I1758" t="s">
        <v>1000</v>
      </c>
      <c r="J1758" s="1" t="str">
        <f>HYPERLINK("https://zfin.org/ZDB-GENE-040724-122")</f>
        <v>https://zfin.org/ZDB-GENE-040724-122</v>
      </c>
      <c r="K1758" t="s">
        <v>1002</v>
      </c>
    </row>
    <row r="1759" spans="1:11" x14ac:dyDescent="0.2">
      <c r="A1759">
        <v>2.7909676369363899E-10</v>
      </c>
      <c r="B1759">
        <v>0.49882034000783698</v>
      </c>
      <c r="C1759">
        <v>0.46700000000000003</v>
      </c>
      <c r="D1759">
        <v>0.158</v>
      </c>
      <c r="E1759">
        <v>4.3212551922686201E-6</v>
      </c>
      <c r="F1759">
        <v>2</v>
      </c>
      <c r="G1759" t="s">
        <v>4145</v>
      </c>
      <c r="H1759" t="s">
        <v>4146</v>
      </c>
      <c r="I1759" t="s">
        <v>4145</v>
      </c>
      <c r="J1759" s="1" t="str">
        <f>HYPERLINK("https://zfin.org/ZDB-GENE-040426-895")</f>
        <v>https://zfin.org/ZDB-GENE-040426-895</v>
      </c>
      <c r="K1759" t="s">
        <v>4147</v>
      </c>
    </row>
    <row r="1760" spans="1:11" x14ac:dyDescent="0.2">
      <c r="A1760">
        <v>2.8466499557862199E-10</v>
      </c>
      <c r="B1760">
        <v>0.576371048883077</v>
      </c>
      <c r="C1760">
        <v>0.78300000000000003</v>
      </c>
      <c r="D1760">
        <v>0.42199999999999999</v>
      </c>
      <c r="E1760">
        <v>4.4074681265438099E-6</v>
      </c>
      <c r="F1760">
        <v>2</v>
      </c>
      <c r="G1760" t="s">
        <v>3119</v>
      </c>
      <c r="H1760" t="s">
        <v>3120</v>
      </c>
      <c r="I1760" t="s">
        <v>3119</v>
      </c>
      <c r="J1760" s="1" t="str">
        <f>HYPERLINK("https://zfin.org/ZDB-GENE-050913-114")</f>
        <v>https://zfin.org/ZDB-GENE-050913-114</v>
      </c>
      <c r="K1760" t="s">
        <v>3121</v>
      </c>
    </row>
    <row r="1761" spans="1:11" x14ac:dyDescent="0.2">
      <c r="A1761">
        <v>2.86870587171999E-10</v>
      </c>
      <c r="B1761">
        <v>-1.10690655220039</v>
      </c>
      <c r="C1761">
        <v>0.13300000000000001</v>
      </c>
      <c r="D1761">
        <v>0.54100000000000004</v>
      </c>
      <c r="E1761">
        <v>4.4416173011840602E-6</v>
      </c>
      <c r="F1761">
        <v>2</v>
      </c>
      <c r="G1761" t="s">
        <v>2690</v>
      </c>
      <c r="H1761" t="s">
        <v>2691</v>
      </c>
      <c r="I1761" t="s">
        <v>2690</v>
      </c>
      <c r="J1761" s="1" t="str">
        <f>HYPERLINK("https://zfin.org/ZDB-GENE-110411-217")</f>
        <v>https://zfin.org/ZDB-GENE-110411-217</v>
      </c>
      <c r="K1761" t="s">
        <v>2692</v>
      </c>
    </row>
    <row r="1762" spans="1:11" x14ac:dyDescent="0.2">
      <c r="A1762">
        <v>2.8825155746823598E-10</v>
      </c>
      <c r="B1762">
        <v>0.58074493919727199</v>
      </c>
      <c r="C1762">
        <v>0.83299999999999996</v>
      </c>
      <c r="D1762">
        <v>0.5</v>
      </c>
      <c r="E1762">
        <v>4.4629988642807004E-6</v>
      </c>
      <c r="F1762">
        <v>2</v>
      </c>
      <c r="G1762" t="s">
        <v>3302</v>
      </c>
      <c r="H1762" t="s">
        <v>3303</v>
      </c>
      <c r="I1762" t="s">
        <v>3302</v>
      </c>
      <c r="J1762" s="1" t="str">
        <f>HYPERLINK("https://zfin.org/ZDB-GENE-050522-151")</f>
        <v>https://zfin.org/ZDB-GENE-050522-151</v>
      </c>
      <c r="K1762" t="s">
        <v>3304</v>
      </c>
    </row>
    <row r="1763" spans="1:11" x14ac:dyDescent="0.2">
      <c r="A1763">
        <v>2.90928968715102E-10</v>
      </c>
      <c r="B1763">
        <v>0.41789341699173999</v>
      </c>
      <c r="C1763">
        <v>0.3</v>
      </c>
      <c r="D1763">
        <v>7.0000000000000007E-2</v>
      </c>
      <c r="E1763">
        <v>4.5044532226159299E-6</v>
      </c>
      <c r="F1763">
        <v>2</v>
      </c>
      <c r="G1763" t="s">
        <v>67</v>
      </c>
      <c r="H1763" t="s">
        <v>68</v>
      </c>
      <c r="I1763" t="s">
        <v>67</v>
      </c>
      <c r="J1763" s="1" t="str">
        <f>HYPERLINK("https://zfin.org/ZDB-GENE-050208-657")</f>
        <v>https://zfin.org/ZDB-GENE-050208-657</v>
      </c>
      <c r="K1763" t="s">
        <v>69</v>
      </c>
    </row>
    <row r="1764" spans="1:11" x14ac:dyDescent="0.2">
      <c r="A1764">
        <v>3.0743214009471002E-10</v>
      </c>
      <c r="B1764">
        <v>0.30645118267563398</v>
      </c>
      <c r="C1764">
        <v>0.217</v>
      </c>
      <c r="D1764">
        <v>0.04</v>
      </c>
      <c r="E1764">
        <v>4.7599718250863998E-6</v>
      </c>
      <c r="F1764">
        <v>2</v>
      </c>
      <c r="G1764" t="s">
        <v>374</v>
      </c>
      <c r="H1764" t="s">
        <v>375</v>
      </c>
      <c r="I1764" t="s">
        <v>374</v>
      </c>
      <c r="J1764" s="1" t="str">
        <f>HYPERLINK("https://zfin.org/ZDB-GENE-050522-296")</f>
        <v>https://zfin.org/ZDB-GENE-050522-296</v>
      </c>
      <c r="K1764" t="s">
        <v>376</v>
      </c>
    </row>
    <row r="1765" spans="1:11" x14ac:dyDescent="0.2">
      <c r="A1765">
        <v>3.1195908466791499E-10</v>
      </c>
      <c r="B1765">
        <v>-1.37297079960341</v>
      </c>
      <c r="C1765">
        <v>0.217</v>
      </c>
      <c r="D1765">
        <v>0.56999999999999995</v>
      </c>
      <c r="E1765">
        <v>4.8300625079133304E-6</v>
      </c>
      <c r="F1765">
        <v>2</v>
      </c>
      <c r="G1765" t="s">
        <v>2672</v>
      </c>
      <c r="H1765" t="s">
        <v>2673</v>
      </c>
      <c r="I1765" t="s">
        <v>2672</v>
      </c>
      <c r="J1765" s="1" t="str">
        <f>HYPERLINK("https://zfin.org/ZDB-GENE-040426-2720")</f>
        <v>https://zfin.org/ZDB-GENE-040426-2720</v>
      </c>
      <c r="K1765" t="s">
        <v>2674</v>
      </c>
    </row>
    <row r="1766" spans="1:11" x14ac:dyDescent="0.2">
      <c r="A1766">
        <v>3.40480970791634E-10</v>
      </c>
      <c r="B1766">
        <v>0.38336296364797701</v>
      </c>
      <c r="C1766">
        <v>0.35</v>
      </c>
      <c r="D1766">
        <v>9.4E-2</v>
      </c>
      <c r="E1766">
        <v>5.2716668707668699E-6</v>
      </c>
      <c r="F1766">
        <v>2</v>
      </c>
      <c r="G1766" t="s">
        <v>4148</v>
      </c>
      <c r="H1766" t="s">
        <v>4149</v>
      </c>
      <c r="I1766" t="s">
        <v>4148</v>
      </c>
      <c r="J1766" s="1" t="str">
        <f>HYPERLINK("https://zfin.org/ZDB-GENE-030131-6312")</f>
        <v>https://zfin.org/ZDB-GENE-030131-6312</v>
      </c>
      <c r="K1766" t="s">
        <v>4150</v>
      </c>
    </row>
    <row r="1767" spans="1:11" x14ac:dyDescent="0.2">
      <c r="A1767">
        <v>3.4837667806739201E-10</v>
      </c>
      <c r="B1767">
        <v>0.35060656883332297</v>
      </c>
      <c r="C1767">
        <v>0.28299999999999997</v>
      </c>
      <c r="D1767">
        <v>6.4000000000000001E-2</v>
      </c>
      <c r="E1767">
        <v>5.3939161065174303E-6</v>
      </c>
      <c r="F1767">
        <v>2</v>
      </c>
      <c r="G1767" t="s">
        <v>564</v>
      </c>
      <c r="H1767" t="s">
        <v>565</v>
      </c>
      <c r="I1767" t="s">
        <v>564</v>
      </c>
      <c r="J1767" s="1" t="str">
        <f>HYPERLINK("https://zfin.org/ZDB-GENE-070521-5")</f>
        <v>https://zfin.org/ZDB-GENE-070521-5</v>
      </c>
      <c r="K1767" t="s">
        <v>566</v>
      </c>
    </row>
    <row r="1768" spans="1:11" x14ac:dyDescent="0.2">
      <c r="A1768">
        <v>3.49690808395601E-10</v>
      </c>
      <c r="B1768">
        <v>0.36339442504997199</v>
      </c>
      <c r="C1768">
        <v>0.41699999999999998</v>
      </c>
      <c r="D1768">
        <v>0.12</v>
      </c>
      <c r="E1768">
        <v>5.41426278638909E-6</v>
      </c>
      <c r="F1768">
        <v>2</v>
      </c>
      <c r="G1768" t="s">
        <v>4151</v>
      </c>
      <c r="H1768" t="s">
        <v>4152</v>
      </c>
      <c r="I1768" t="s">
        <v>4151</v>
      </c>
      <c r="J1768" s="1" t="str">
        <f>HYPERLINK("https://zfin.org/ZDB-GENE-070705-152")</f>
        <v>https://zfin.org/ZDB-GENE-070705-152</v>
      </c>
      <c r="K1768" t="s">
        <v>4153</v>
      </c>
    </row>
    <row r="1769" spans="1:11" x14ac:dyDescent="0.2">
      <c r="A1769">
        <v>3.6027929001162598E-10</v>
      </c>
      <c r="B1769">
        <v>0.550081356521682</v>
      </c>
      <c r="C1769">
        <v>0.75</v>
      </c>
      <c r="D1769">
        <v>0.35699999999999998</v>
      </c>
      <c r="E1769">
        <v>5.5782042472500103E-6</v>
      </c>
      <c r="F1769">
        <v>2</v>
      </c>
      <c r="G1769" t="s">
        <v>4154</v>
      </c>
      <c r="H1769" t="s">
        <v>4155</v>
      </c>
      <c r="I1769" t="s">
        <v>4154</v>
      </c>
      <c r="J1769" s="1" t="str">
        <f>HYPERLINK("https://zfin.org/ZDB-GENE-040912-175")</f>
        <v>https://zfin.org/ZDB-GENE-040912-175</v>
      </c>
      <c r="K1769" t="s">
        <v>4156</v>
      </c>
    </row>
    <row r="1770" spans="1:11" x14ac:dyDescent="0.2">
      <c r="A1770">
        <v>3.7576423013312798E-10</v>
      </c>
      <c r="B1770">
        <v>0.35639915509870501</v>
      </c>
      <c r="C1770">
        <v>0.45</v>
      </c>
      <c r="D1770">
        <v>0.13800000000000001</v>
      </c>
      <c r="E1770">
        <v>5.8179575751512199E-6</v>
      </c>
      <c r="F1770">
        <v>2</v>
      </c>
      <c r="G1770" t="s">
        <v>4157</v>
      </c>
      <c r="H1770" t="s">
        <v>4158</v>
      </c>
      <c r="I1770" t="s">
        <v>4157</v>
      </c>
      <c r="J1770" s="1" t="str">
        <f>HYPERLINK("https://zfin.org/ZDB-GENE-030131-6689")</f>
        <v>https://zfin.org/ZDB-GENE-030131-6689</v>
      </c>
      <c r="K1770" t="s">
        <v>4159</v>
      </c>
    </row>
    <row r="1771" spans="1:11" x14ac:dyDescent="0.2">
      <c r="A1771">
        <v>3.9378185208530902E-10</v>
      </c>
      <c r="B1771">
        <v>0.45976354189259899</v>
      </c>
      <c r="C1771">
        <v>0.45</v>
      </c>
      <c r="D1771">
        <v>0.14199999999999999</v>
      </c>
      <c r="E1771">
        <v>6.0969244158368298E-6</v>
      </c>
      <c r="F1771">
        <v>2</v>
      </c>
      <c r="G1771" t="s">
        <v>2308</v>
      </c>
      <c r="H1771" t="s">
        <v>2309</v>
      </c>
      <c r="I1771" t="s">
        <v>2308</v>
      </c>
      <c r="J1771" s="1" t="str">
        <f>HYPERLINK("https://zfin.org/ZDB-GENE-040614-2")</f>
        <v>https://zfin.org/ZDB-GENE-040614-2</v>
      </c>
      <c r="K1771" t="s">
        <v>2310</v>
      </c>
    </row>
    <row r="1772" spans="1:11" x14ac:dyDescent="0.2">
      <c r="A1772">
        <v>3.9470797491425999E-10</v>
      </c>
      <c r="B1772">
        <v>0.38403579754625</v>
      </c>
      <c r="C1772">
        <v>0.38300000000000001</v>
      </c>
      <c r="D1772">
        <v>0.106</v>
      </c>
      <c r="E1772">
        <v>6.1112635755974902E-6</v>
      </c>
      <c r="F1772">
        <v>2</v>
      </c>
      <c r="G1772" t="s">
        <v>4160</v>
      </c>
      <c r="H1772" t="s">
        <v>4161</v>
      </c>
      <c r="I1772" t="s">
        <v>4160</v>
      </c>
      <c r="J1772" s="1" t="str">
        <f>HYPERLINK("https://zfin.org/ZDB-GENE-030131-1365")</f>
        <v>https://zfin.org/ZDB-GENE-030131-1365</v>
      </c>
      <c r="K1772" t="s">
        <v>4162</v>
      </c>
    </row>
    <row r="1773" spans="1:11" x14ac:dyDescent="0.2">
      <c r="A1773">
        <v>4.2026909343120098E-10</v>
      </c>
      <c r="B1773">
        <v>0.51407264715510803</v>
      </c>
      <c r="C1773">
        <v>0.25</v>
      </c>
      <c r="D1773">
        <v>5.2999999999999999E-2</v>
      </c>
      <c r="E1773">
        <v>6.5070263735952799E-6</v>
      </c>
      <c r="F1773">
        <v>2</v>
      </c>
      <c r="G1773" t="s">
        <v>4163</v>
      </c>
      <c r="H1773" t="s">
        <v>4164</v>
      </c>
      <c r="I1773" t="s">
        <v>4163</v>
      </c>
      <c r="J1773" s="1" t="str">
        <f>HYPERLINK("https://zfin.org/ZDB-GENE-070424-111")</f>
        <v>https://zfin.org/ZDB-GENE-070424-111</v>
      </c>
      <c r="K1773" t="s">
        <v>4165</v>
      </c>
    </row>
    <row r="1774" spans="1:11" x14ac:dyDescent="0.2">
      <c r="A1774">
        <v>4.2038726282285499E-10</v>
      </c>
      <c r="B1774">
        <v>0.36658951565688802</v>
      </c>
      <c r="C1774">
        <v>0.4</v>
      </c>
      <c r="D1774">
        <v>0.114</v>
      </c>
      <c r="E1774">
        <v>6.5088559902862602E-6</v>
      </c>
      <c r="F1774">
        <v>2</v>
      </c>
      <c r="G1774" t="s">
        <v>4166</v>
      </c>
      <c r="H1774" t="s">
        <v>4167</v>
      </c>
      <c r="I1774" t="s">
        <v>4166</v>
      </c>
      <c r="J1774" s="1" t="str">
        <f>HYPERLINK("https://zfin.org/ZDB-GENE-080204-83")</f>
        <v>https://zfin.org/ZDB-GENE-080204-83</v>
      </c>
      <c r="K1774" t="s">
        <v>4168</v>
      </c>
    </row>
    <row r="1775" spans="1:11" x14ac:dyDescent="0.2">
      <c r="A1775">
        <v>4.2200792723537199E-10</v>
      </c>
      <c r="B1775">
        <v>0.38352036481572599</v>
      </c>
      <c r="C1775">
        <v>0.217</v>
      </c>
      <c r="D1775">
        <v>4.2000000000000003E-2</v>
      </c>
      <c r="E1775">
        <v>6.5339487373852597E-6</v>
      </c>
      <c r="F1775">
        <v>2</v>
      </c>
      <c r="G1775" t="s">
        <v>299</v>
      </c>
      <c r="H1775" t="s">
        <v>300</v>
      </c>
      <c r="I1775" t="s">
        <v>299</v>
      </c>
      <c r="J1775" s="1" t="str">
        <f>HYPERLINK("https://zfin.org/ZDB-GENE-070912-59")</f>
        <v>https://zfin.org/ZDB-GENE-070912-59</v>
      </c>
      <c r="K1775" t="s">
        <v>301</v>
      </c>
    </row>
    <row r="1776" spans="1:11" x14ac:dyDescent="0.2">
      <c r="A1776">
        <v>4.5896962689864901E-10</v>
      </c>
      <c r="B1776">
        <v>0.267267018761769</v>
      </c>
      <c r="C1776">
        <v>0.2</v>
      </c>
      <c r="D1776">
        <v>3.5000000000000003E-2</v>
      </c>
      <c r="E1776">
        <v>7.1062267332717901E-6</v>
      </c>
      <c r="F1776">
        <v>2</v>
      </c>
      <c r="G1776" t="s">
        <v>4169</v>
      </c>
      <c r="H1776" t="s">
        <v>4170</v>
      </c>
      <c r="I1776" t="s">
        <v>4169</v>
      </c>
      <c r="J1776" s="1" t="str">
        <f>HYPERLINK("https://zfin.org/ZDB-GENE-050102-4")</f>
        <v>https://zfin.org/ZDB-GENE-050102-4</v>
      </c>
      <c r="K1776" t="s">
        <v>4171</v>
      </c>
    </row>
    <row r="1777" spans="1:11" x14ac:dyDescent="0.2">
      <c r="A1777">
        <v>4.5925325871271298E-10</v>
      </c>
      <c r="B1777">
        <v>0.37000223281002298</v>
      </c>
      <c r="C1777">
        <v>0.38300000000000001</v>
      </c>
      <c r="D1777">
        <v>0.107</v>
      </c>
      <c r="E1777">
        <v>7.1106182046489303E-6</v>
      </c>
      <c r="F1777">
        <v>2</v>
      </c>
      <c r="G1777" t="s">
        <v>4172</v>
      </c>
      <c r="H1777" t="s">
        <v>4173</v>
      </c>
      <c r="I1777" t="s">
        <v>4172</v>
      </c>
      <c r="J1777" s="1" t="str">
        <f>HYPERLINK("https://zfin.org/ZDB-GENE-050417-398")</f>
        <v>https://zfin.org/ZDB-GENE-050417-398</v>
      </c>
      <c r="K1777" t="s">
        <v>4174</v>
      </c>
    </row>
    <row r="1778" spans="1:11" x14ac:dyDescent="0.2">
      <c r="A1778">
        <v>4.6823358300407997E-10</v>
      </c>
      <c r="B1778">
        <v>0.64308816773812705</v>
      </c>
      <c r="C1778">
        <v>0.71699999999999997</v>
      </c>
      <c r="D1778">
        <v>0.33300000000000002</v>
      </c>
      <c r="E1778">
        <v>7.24966056565218E-6</v>
      </c>
      <c r="F1778">
        <v>2</v>
      </c>
      <c r="G1778" t="s">
        <v>4175</v>
      </c>
      <c r="H1778" t="s">
        <v>4176</v>
      </c>
      <c r="I1778" t="s">
        <v>4175</v>
      </c>
      <c r="J1778" s="1" t="str">
        <f>HYPERLINK("https://zfin.org/ZDB-GENE-040426-2902")</f>
        <v>https://zfin.org/ZDB-GENE-040426-2902</v>
      </c>
      <c r="K1778" t="s">
        <v>4177</v>
      </c>
    </row>
    <row r="1779" spans="1:11" x14ac:dyDescent="0.2">
      <c r="A1779">
        <v>4.6920233489179604E-10</v>
      </c>
      <c r="B1779">
        <v>0.46458239911855898</v>
      </c>
      <c r="C1779">
        <v>0.3</v>
      </c>
      <c r="D1779">
        <v>7.4999999999999997E-2</v>
      </c>
      <c r="E1779">
        <v>7.2646597511296802E-6</v>
      </c>
      <c r="F1779">
        <v>2</v>
      </c>
      <c r="G1779" t="s">
        <v>1417</v>
      </c>
      <c r="H1779" t="s">
        <v>1418</v>
      </c>
      <c r="I1779" t="s">
        <v>1417</v>
      </c>
      <c r="J1779" s="1" t="str">
        <f>HYPERLINK("https://zfin.org/ZDB-GENE-040426-2505")</f>
        <v>https://zfin.org/ZDB-GENE-040426-2505</v>
      </c>
      <c r="K1779" t="s">
        <v>1419</v>
      </c>
    </row>
    <row r="1780" spans="1:11" x14ac:dyDescent="0.2">
      <c r="A1780">
        <v>4.8270448370117405E-10</v>
      </c>
      <c r="B1780">
        <v>0.63609050082492502</v>
      </c>
      <c r="C1780">
        <v>0.9</v>
      </c>
      <c r="D1780">
        <v>0.53400000000000003</v>
      </c>
      <c r="E1780">
        <v>7.4737135211452801E-6</v>
      </c>
      <c r="F1780">
        <v>2</v>
      </c>
      <c r="G1780" t="s">
        <v>4178</v>
      </c>
      <c r="H1780" t="s">
        <v>4179</v>
      </c>
      <c r="I1780" t="s">
        <v>4178</v>
      </c>
      <c r="J1780" s="1" t="str">
        <f>HYPERLINK("https://zfin.org/ZDB-GENE-041008-106")</f>
        <v>https://zfin.org/ZDB-GENE-041008-106</v>
      </c>
      <c r="K1780" t="s">
        <v>4180</v>
      </c>
    </row>
    <row r="1781" spans="1:11" x14ac:dyDescent="0.2">
      <c r="A1781">
        <v>6.0162367560679196E-10</v>
      </c>
      <c r="B1781">
        <v>0.60223026926237699</v>
      </c>
      <c r="C1781">
        <v>0.81699999999999995</v>
      </c>
      <c r="D1781">
        <v>0.47299999999999998</v>
      </c>
      <c r="E1781">
        <v>9.3149393694199601E-6</v>
      </c>
      <c r="F1781">
        <v>2</v>
      </c>
      <c r="G1781" t="s">
        <v>4181</v>
      </c>
      <c r="H1781" t="s">
        <v>4182</v>
      </c>
      <c r="I1781" t="s">
        <v>4181</v>
      </c>
      <c r="J1781" s="1" t="str">
        <f>HYPERLINK("https://zfin.org/ZDB-GENE-051030-93")</f>
        <v>https://zfin.org/ZDB-GENE-051030-93</v>
      </c>
      <c r="K1781" t="s">
        <v>4183</v>
      </c>
    </row>
    <row r="1782" spans="1:11" x14ac:dyDescent="0.2">
      <c r="A1782">
        <v>6.0224099964944498E-10</v>
      </c>
      <c r="B1782">
        <v>0.27884764105842302</v>
      </c>
      <c r="C1782">
        <v>0.217</v>
      </c>
      <c r="D1782">
        <v>0.04</v>
      </c>
      <c r="E1782">
        <v>9.3244973975723597E-6</v>
      </c>
      <c r="F1782">
        <v>2</v>
      </c>
      <c r="G1782" t="s">
        <v>4184</v>
      </c>
      <c r="H1782" t="s">
        <v>4185</v>
      </c>
      <c r="I1782" t="s">
        <v>4184</v>
      </c>
      <c r="J1782" s="1" t="str">
        <f>HYPERLINK("https://zfin.org/ZDB-GENE-060503-297")</f>
        <v>https://zfin.org/ZDB-GENE-060503-297</v>
      </c>
      <c r="K1782" t="s">
        <v>4186</v>
      </c>
    </row>
    <row r="1783" spans="1:11" x14ac:dyDescent="0.2">
      <c r="A1783">
        <v>6.3324195772115404E-10</v>
      </c>
      <c r="B1783">
        <v>-0.68508861462428405</v>
      </c>
      <c r="C1783">
        <v>0.85</v>
      </c>
      <c r="D1783">
        <v>0.89700000000000002</v>
      </c>
      <c r="E1783">
        <v>9.8044852313966192E-6</v>
      </c>
      <c r="F1783">
        <v>2</v>
      </c>
      <c r="G1783" t="s">
        <v>2425</v>
      </c>
      <c r="H1783" t="s">
        <v>2426</v>
      </c>
      <c r="I1783" t="s">
        <v>2425</v>
      </c>
      <c r="J1783" s="1" t="str">
        <f>HYPERLINK("https://zfin.org/ZDB-GENE-990712-18")</f>
        <v>https://zfin.org/ZDB-GENE-990712-18</v>
      </c>
      <c r="K1783" t="s">
        <v>2427</v>
      </c>
    </row>
    <row r="1784" spans="1:11" x14ac:dyDescent="0.2">
      <c r="A1784">
        <v>7.1238023201119698E-10</v>
      </c>
      <c r="B1784">
        <v>0.53168621575998298</v>
      </c>
      <c r="C1784">
        <v>0.88300000000000001</v>
      </c>
      <c r="D1784">
        <v>0.53900000000000003</v>
      </c>
      <c r="E1784">
        <v>1.1029783132229399E-5</v>
      </c>
      <c r="F1784">
        <v>2</v>
      </c>
      <c r="G1784" t="s">
        <v>3311</v>
      </c>
      <c r="H1784" t="s">
        <v>3312</v>
      </c>
      <c r="I1784" t="s">
        <v>3311</v>
      </c>
      <c r="J1784" s="1" t="str">
        <f>HYPERLINK("https://zfin.org/ZDB-GENE-041010-33")</f>
        <v>https://zfin.org/ZDB-GENE-041010-33</v>
      </c>
      <c r="K1784" t="s">
        <v>3313</v>
      </c>
    </row>
    <row r="1785" spans="1:11" x14ac:dyDescent="0.2">
      <c r="A1785">
        <v>7.2488199714163603E-10</v>
      </c>
      <c r="B1785">
        <v>0.45145288583744603</v>
      </c>
      <c r="C1785">
        <v>0.23300000000000001</v>
      </c>
      <c r="D1785">
        <v>4.8000000000000001E-2</v>
      </c>
      <c r="E1785">
        <v>1.12233479617439E-5</v>
      </c>
      <c r="F1785">
        <v>2</v>
      </c>
      <c r="G1785" t="s">
        <v>4187</v>
      </c>
      <c r="H1785" t="s">
        <v>4188</v>
      </c>
      <c r="I1785" t="s">
        <v>4187</v>
      </c>
      <c r="J1785" s="1" t="str">
        <f>HYPERLINK("https://zfin.org/ZDB-GENE-030131-9569")</f>
        <v>https://zfin.org/ZDB-GENE-030131-9569</v>
      </c>
      <c r="K1785" t="s">
        <v>4189</v>
      </c>
    </row>
    <row r="1786" spans="1:11" x14ac:dyDescent="0.2">
      <c r="A1786">
        <v>7.3947514260931196E-10</v>
      </c>
      <c r="B1786">
        <v>0.82571448410131898</v>
      </c>
      <c r="C1786">
        <v>0.66700000000000004</v>
      </c>
      <c r="D1786">
        <v>0.34499999999999997</v>
      </c>
      <c r="E1786">
        <v>1.144929363302E-5</v>
      </c>
      <c r="F1786">
        <v>2</v>
      </c>
      <c r="G1786" t="s">
        <v>522</v>
      </c>
      <c r="H1786" t="s">
        <v>523</v>
      </c>
      <c r="I1786" t="s">
        <v>522</v>
      </c>
      <c r="J1786" s="1" t="str">
        <f>HYPERLINK("https://zfin.org/ZDB-GENE-040912-60")</f>
        <v>https://zfin.org/ZDB-GENE-040912-60</v>
      </c>
      <c r="K1786" t="s">
        <v>524</v>
      </c>
    </row>
    <row r="1787" spans="1:11" x14ac:dyDescent="0.2">
      <c r="A1787">
        <v>7.5813545301583902E-10</v>
      </c>
      <c r="B1787">
        <v>-0.83257475764322597</v>
      </c>
      <c r="C1787">
        <v>0.61699999999999999</v>
      </c>
      <c r="D1787">
        <v>0.82799999999999996</v>
      </c>
      <c r="E1787">
        <v>1.17382112190442E-5</v>
      </c>
      <c r="F1787">
        <v>2</v>
      </c>
      <c r="G1787" t="s">
        <v>1820</v>
      </c>
      <c r="H1787" t="s">
        <v>1821</v>
      </c>
      <c r="I1787" t="s">
        <v>1820</v>
      </c>
      <c r="J1787" s="1" t="str">
        <f>HYPERLINK("https://zfin.org/ZDB-GENE-030410-1")</f>
        <v>https://zfin.org/ZDB-GENE-030410-1</v>
      </c>
      <c r="K1787" t="s">
        <v>1822</v>
      </c>
    </row>
    <row r="1788" spans="1:11" x14ac:dyDescent="0.2">
      <c r="A1788">
        <v>8.1015066698315001E-10</v>
      </c>
      <c r="B1788">
        <v>0.59729610040443903</v>
      </c>
      <c r="C1788">
        <v>0.8</v>
      </c>
      <c r="D1788">
        <v>0.42899999999999999</v>
      </c>
      <c r="E1788">
        <v>1.2543562776900101E-5</v>
      </c>
      <c r="F1788">
        <v>2</v>
      </c>
      <c r="G1788" t="s">
        <v>4190</v>
      </c>
      <c r="H1788" t="s">
        <v>4191</v>
      </c>
      <c r="I1788" t="s">
        <v>4190</v>
      </c>
      <c r="J1788" s="1" t="str">
        <f>HYPERLINK("https://zfin.org/ZDB-GENE-040720-3")</f>
        <v>https://zfin.org/ZDB-GENE-040720-3</v>
      </c>
      <c r="K1788" t="s">
        <v>4192</v>
      </c>
    </row>
    <row r="1789" spans="1:11" x14ac:dyDescent="0.2">
      <c r="A1789">
        <v>8.4416299566343702E-10</v>
      </c>
      <c r="B1789">
        <v>0.32724229650729802</v>
      </c>
      <c r="C1789">
        <v>0.25</v>
      </c>
      <c r="D1789">
        <v>5.3999999999999999E-2</v>
      </c>
      <c r="E1789">
        <v>1.3070175661857E-5</v>
      </c>
      <c r="F1789">
        <v>2</v>
      </c>
      <c r="G1789" t="s">
        <v>2204</v>
      </c>
      <c r="H1789" t="s">
        <v>2205</v>
      </c>
      <c r="I1789" t="s">
        <v>2204</v>
      </c>
      <c r="J1789" s="1" t="str">
        <f>HYPERLINK("https://zfin.org/ZDB-GENE-060929-708")</f>
        <v>https://zfin.org/ZDB-GENE-060929-708</v>
      </c>
      <c r="K1789" t="s">
        <v>2206</v>
      </c>
    </row>
    <row r="1790" spans="1:11" x14ac:dyDescent="0.2">
      <c r="A1790">
        <v>8.45258869904841E-10</v>
      </c>
      <c r="B1790">
        <v>0.53986877685972201</v>
      </c>
      <c r="C1790">
        <v>0.61699999999999999</v>
      </c>
      <c r="D1790">
        <v>0.255</v>
      </c>
      <c r="E1790">
        <v>1.3087143082736701E-5</v>
      </c>
      <c r="F1790">
        <v>2</v>
      </c>
      <c r="G1790" t="s">
        <v>4193</v>
      </c>
      <c r="H1790" t="s">
        <v>4194</v>
      </c>
      <c r="I1790" t="s">
        <v>4193</v>
      </c>
      <c r="J1790" s="1" t="str">
        <f>HYPERLINK("https://zfin.org/")</f>
        <v>https://zfin.org/</v>
      </c>
      <c r="K1790" t="s">
        <v>4195</v>
      </c>
    </row>
    <row r="1791" spans="1:11" x14ac:dyDescent="0.2">
      <c r="A1791">
        <v>8.4618552576894097E-10</v>
      </c>
      <c r="B1791">
        <v>0.391951127206842</v>
      </c>
      <c r="C1791">
        <v>0.46700000000000003</v>
      </c>
      <c r="D1791">
        <v>0.152</v>
      </c>
      <c r="E1791">
        <v>1.31014904954805E-5</v>
      </c>
      <c r="F1791">
        <v>2</v>
      </c>
      <c r="G1791" t="s">
        <v>2796</v>
      </c>
      <c r="H1791" t="s">
        <v>2797</v>
      </c>
      <c r="I1791" t="s">
        <v>2796</v>
      </c>
      <c r="J1791" s="1" t="str">
        <f>HYPERLINK("https://zfin.org/ZDB-GENE-040426-1686")</f>
        <v>https://zfin.org/ZDB-GENE-040426-1686</v>
      </c>
      <c r="K1791" t="s">
        <v>2798</v>
      </c>
    </row>
    <row r="1792" spans="1:11" x14ac:dyDescent="0.2">
      <c r="A1792">
        <v>8.4963847209704904E-10</v>
      </c>
      <c r="B1792">
        <v>0.52088895767035304</v>
      </c>
      <c r="C1792">
        <v>1</v>
      </c>
      <c r="D1792">
        <v>0.97</v>
      </c>
      <c r="E1792">
        <v>1.3154952463478599E-5</v>
      </c>
      <c r="F1792">
        <v>2</v>
      </c>
      <c r="G1792" t="s">
        <v>1092</v>
      </c>
      <c r="H1792" t="s">
        <v>1093</v>
      </c>
      <c r="I1792" t="s">
        <v>1092</v>
      </c>
      <c r="J1792" s="1" t="str">
        <f>HYPERLINK("https://zfin.org/ZDB-GENE-040718-72")</f>
        <v>https://zfin.org/ZDB-GENE-040718-72</v>
      </c>
      <c r="K1792" t="s">
        <v>1094</v>
      </c>
    </row>
    <row r="1793" spans="1:11" x14ac:dyDescent="0.2">
      <c r="A1793">
        <v>8.9440939642143803E-10</v>
      </c>
      <c r="B1793">
        <v>0.34143058222119899</v>
      </c>
      <c r="C1793">
        <v>0.33300000000000002</v>
      </c>
      <c r="D1793">
        <v>8.5999999999999993E-2</v>
      </c>
      <c r="E1793">
        <v>1.38481406847931E-5</v>
      </c>
      <c r="F1793">
        <v>2</v>
      </c>
      <c r="G1793" t="s">
        <v>4196</v>
      </c>
      <c r="H1793" t="s">
        <v>4197</v>
      </c>
      <c r="I1793" t="s">
        <v>4196</v>
      </c>
      <c r="J1793" s="1" t="str">
        <f>HYPERLINK("https://zfin.org/ZDB-GENE-030131-6725")</f>
        <v>https://zfin.org/ZDB-GENE-030131-6725</v>
      </c>
      <c r="K1793" t="s">
        <v>4198</v>
      </c>
    </row>
    <row r="1794" spans="1:11" x14ac:dyDescent="0.2">
      <c r="A1794">
        <v>9.0225625089967698E-10</v>
      </c>
      <c r="B1794">
        <v>0.56785218370645496</v>
      </c>
      <c r="C1794">
        <v>0.86699999999999999</v>
      </c>
      <c r="D1794">
        <v>0.60799999999999998</v>
      </c>
      <c r="E1794">
        <v>1.3969633532679699E-5</v>
      </c>
      <c r="F1794">
        <v>2</v>
      </c>
      <c r="G1794" t="s">
        <v>2722</v>
      </c>
      <c r="H1794" t="s">
        <v>4199</v>
      </c>
      <c r="I1794" t="s">
        <v>2722</v>
      </c>
      <c r="J1794" s="1" t="str">
        <f>HYPERLINK("https://zfin.org/ZDB-GENE-050417-65")</f>
        <v>https://zfin.org/ZDB-GENE-050417-65</v>
      </c>
      <c r="K1794" t="s">
        <v>2723</v>
      </c>
    </row>
    <row r="1795" spans="1:11" x14ac:dyDescent="0.2">
      <c r="A1795">
        <v>9.5514438261381292E-10</v>
      </c>
      <c r="B1795">
        <v>0.25674002664267298</v>
      </c>
      <c r="C1795">
        <v>0.2</v>
      </c>
      <c r="D1795">
        <v>3.5999999999999997E-2</v>
      </c>
      <c r="E1795">
        <v>1.47885004760097E-5</v>
      </c>
      <c r="F1795">
        <v>2</v>
      </c>
      <c r="G1795" t="s">
        <v>4200</v>
      </c>
      <c r="H1795" t="s">
        <v>4201</v>
      </c>
      <c r="I1795" t="s">
        <v>4200</v>
      </c>
      <c r="J1795" s="1" t="str">
        <f>HYPERLINK("https://zfin.org/ZDB-GENE-070615-15")</f>
        <v>https://zfin.org/ZDB-GENE-070615-15</v>
      </c>
      <c r="K1795" t="s">
        <v>4202</v>
      </c>
    </row>
    <row r="1796" spans="1:11" x14ac:dyDescent="0.2">
      <c r="A1796">
        <v>9.6052026970247996E-10</v>
      </c>
      <c r="B1796">
        <v>0.69607621190726099</v>
      </c>
      <c r="C1796">
        <v>0.8</v>
      </c>
      <c r="D1796">
        <v>0.45</v>
      </c>
      <c r="E1796">
        <v>1.4871735335803501E-5</v>
      </c>
      <c r="F1796">
        <v>2</v>
      </c>
      <c r="G1796" t="s">
        <v>4203</v>
      </c>
      <c r="H1796" t="s">
        <v>4204</v>
      </c>
      <c r="I1796" t="s">
        <v>4203</v>
      </c>
      <c r="J1796" s="1" t="str">
        <f>HYPERLINK("https://zfin.org/ZDB-GENE-040426-2682")</f>
        <v>https://zfin.org/ZDB-GENE-040426-2682</v>
      </c>
      <c r="K1796" t="s">
        <v>4205</v>
      </c>
    </row>
    <row r="1797" spans="1:11" x14ac:dyDescent="0.2">
      <c r="A1797">
        <v>9.7323316734577203E-10</v>
      </c>
      <c r="B1797">
        <v>0.59721345329345599</v>
      </c>
      <c r="C1797">
        <v>0.78300000000000003</v>
      </c>
      <c r="D1797">
        <v>0.442</v>
      </c>
      <c r="E1797">
        <v>1.5068569130014601E-5</v>
      </c>
      <c r="F1797">
        <v>2</v>
      </c>
      <c r="G1797" t="s">
        <v>3197</v>
      </c>
      <c r="H1797" t="s">
        <v>3198</v>
      </c>
      <c r="I1797" t="s">
        <v>3197</v>
      </c>
      <c r="J1797" s="1" t="str">
        <f>HYPERLINK("https://zfin.org/ZDB-GENE-040718-136")</f>
        <v>https://zfin.org/ZDB-GENE-040718-136</v>
      </c>
      <c r="K1797" t="s">
        <v>3199</v>
      </c>
    </row>
    <row r="1798" spans="1:11" x14ac:dyDescent="0.2">
      <c r="A1798">
        <v>1.08644950158117E-9</v>
      </c>
      <c r="B1798">
        <v>-1.32018332797302</v>
      </c>
      <c r="C1798">
        <v>0.58299999999999996</v>
      </c>
      <c r="D1798">
        <v>0.73199999999999998</v>
      </c>
      <c r="E1798">
        <v>1.6821497632981199E-5</v>
      </c>
      <c r="F1798">
        <v>2</v>
      </c>
      <c r="G1798" t="s">
        <v>2739</v>
      </c>
      <c r="H1798" t="s">
        <v>2740</v>
      </c>
      <c r="I1798" t="s">
        <v>2739</v>
      </c>
      <c r="J1798" s="1" t="str">
        <f>HYPERLINK("https://zfin.org/ZDB-GENE-030131-8575")</f>
        <v>https://zfin.org/ZDB-GENE-030131-8575</v>
      </c>
      <c r="K1798" t="s">
        <v>2741</v>
      </c>
    </row>
    <row r="1799" spans="1:11" x14ac:dyDescent="0.2">
      <c r="A1799">
        <v>1.08910304662521E-9</v>
      </c>
      <c r="B1799">
        <v>0.51339293926348095</v>
      </c>
      <c r="C1799">
        <v>0.93300000000000005</v>
      </c>
      <c r="D1799">
        <v>0.75900000000000001</v>
      </c>
      <c r="E1799">
        <v>1.68625824708982E-5</v>
      </c>
      <c r="F1799">
        <v>2</v>
      </c>
      <c r="G1799" t="s">
        <v>4206</v>
      </c>
      <c r="H1799" t="s">
        <v>4207</v>
      </c>
      <c r="I1799" t="s">
        <v>2722</v>
      </c>
      <c r="J1799" s="1" t="str">
        <f>HYPERLINK("https://zfin.org/ZDB-GENE-050417-65")</f>
        <v>https://zfin.org/ZDB-GENE-050417-65</v>
      </c>
      <c r="K1799" t="s">
        <v>2723</v>
      </c>
    </row>
    <row r="1800" spans="1:11" x14ac:dyDescent="0.2">
      <c r="A1800">
        <v>1.1473554458531801E-9</v>
      </c>
      <c r="B1800">
        <v>0.372923378149497</v>
      </c>
      <c r="C1800">
        <v>0.35</v>
      </c>
      <c r="D1800">
        <v>9.5000000000000001E-2</v>
      </c>
      <c r="E1800">
        <v>1.77645043681447E-5</v>
      </c>
      <c r="F1800">
        <v>2</v>
      </c>
      <c r="G1800" t="s">
        <v>4208</v>
      </c>
      <c r="H1800" t="s">
        <v>4209</v>
      </c>
      <c r="I1800" t="s">
        <v>4208</v>
      </c>
      <c r="J1800" s="1" t="str">
        <f>HYPERLINK("https://zfin.org/ZDB-GENE-040907-1")</f>
        <v>https://zfin.org/ZDB-GENE-040907-1</v>
      </c>
      <c r="K1800" t="s">
        <v>4210</v>
      </c>
    </row>
    <row r="1801" spans="1:11" x14ac:dyDescent="0.2">
      <c r="A1801">
        <v>1.17335939714833E-9</v>
      </c>
      <c r="B1801">
        <v>0.58865361561589102</v>
      </c>
      <c r="C1801">
        <v>0.76700000000000002</v>
      </c>
      <c r="D1801">
        <v>0.41099999999999998</v>
      </c>
      <c r="E1801">
        <v>1.81671235460476E-5</v>
      </c>
      <c r="F1801">
        <v>2</v>
      </c>
      <c r="G1801" t="s">
        <v>2630</v>
      </c>
      <c r="H1801" t="s">
        <v>2631</v>
      </c>
      <c r="I1801" t="s">
        <v>2630</v>
      </c>
      <c r="J1801" s="1" t="str">
        <f>HYPERLINK("https://zfin.org/ZDB-GENE-040426-1691")</f>
        <v>https://zfin.org/ZDB-GENE-040426-1691</v>
      </c>
      <c r="K1801" t="s">
        <v>2632</v>
      </c>
    </row>
    <row r="1802" spans="1:11" x14ac:dyDescent="0.2">
      <c r="A1802">
        <v>1.1741775544572001E-9</v>
      </c>
      <c r="B1802">
        <v>0.62644905161708098</v>
      </c>
      <c r="C1802">
        <v>0.68300000000000005</v>
      </c>
      <c r="D1802">
        <v>0.32400000000000001</v>
      </c>
      <c r="E1802">
        <v>1.8179791075660802E-5</v>
      </c>
      <c r="F1802">
        <v>2</v>
      </c>
      <c r="G1802" t="s">
        <v>1849</v>
      </c>
      <c r="H1802" t="s">
        <v>1850</v>
      </c>
      <c r="I1802" t="s">
        <v>1849</v>
      </c>
      <c r="J1802" s="1" t="str">
        <f>HYPERLINK("https://zfin.org/ZDB-GENE-110914-234")</f>
        <v>https://zfin.org/ZDB-GENE-110914-234</v>
      </c>
      <c r="K1802" t="s">
        <v>1851</v>
      </c>
    </row>
    <row r="1803" spans="1:11" x14ac:dyDescent="0.2">
      <c r="A1803">
        <v>1.17991374835374E-9</v>
      </c>
      <c r="B1803">
        <v>-1.4051114496984001</v>
      </c>
      <c r="C1803">
        <v>0.16700000000000001</v>
      </c>
      <c r="D1803">
        <v>0.52400000000000002</v>
      </c>
      <c r="E1803">
        <v>1.8268604565761001E-5</v>
      </c>
      <c r="F1803">
        <v>2</v>
      </c>
      <c r="G1803" t="s">
        <v>2654</v>
      </c>
      <c r="H1803" t="s">
        <v>2655</v>
      </c>
      <c r="I1803" t="s">
        <v>2654</v>
      </c>
      <c r="J1803" s="1" t="str">
        <f>HYPERLINK("https://zfin.org/ZDB-GENE-141212-380")</f>
        <v>https://zfin.org/ZDB-GENE-141212-380</v>
      </c>
      <c r="K1803" t="s">
        <v>2656</v>
      </c>
    </row>
    <row r="1804" spans="1:11" x14ac:dyDescent="0.2">
      <c r="A1804">
        <v>1.2132122956537901E-9</v>
      </c>
      <c r="B1804">
        <v>0.415345382164994</v>
      </c>
      <c r="C1804">
        <v>0.26700000000000002</v>
      </c>
      <c r="D1804">
        <v>6.2E-2</v>
      </c>
      <c r="E1804">
        <v>1.8784165973607601E-5</v>
      </c>
      <c r="F1804">
        <v>2</v>
      </c>
      <c r="G1804" t="s">
        <v>290</v>
      </c>
      <c r="H1804" t="s">
        <v>291</v>
      </c>
      <c r="I1804" t="s">
        <v>290</v>
      </c>
      <c r="J1804" s="1" t="str">
        <f>HYPERLINK("https://zfin.org/ZDB-GENE-090312-63")</f>
        <v>https://zfin.org/ZDB-GENE-090312-63</v>
      </c>
      <c r="K1804" t="s">
        <v>292</v>
      </c>
    </row>
    <row r="1805" spans="1:11" x14ac:dyDescent="0.2">
      <c r="A1805">
        <v>1.2438974066166401E-9</v>
      </c>
      <c r="B1805">
        <v>0.43063569802967699</v>
      </c>
      <c r="C1805">
        <v>0.4</v>
      </c>
      <c r="D1805">
        <v>0.11799999999999999</v>
      </c>
      <c r="E1805">
        <v>1.92592635466454E-5</v>
      </c>
      <c r="F1805">
        <v>2</v>
      </c>
      <c r="G1805" t="s">
        <v>4211</v>
      </c>
      <c r="H1805" t="s">
        <v>4212</v>
      </c>
      <c r="I1805" t="s">
        <v>4211</v>
      </c>
      <c r="J1805" s="1" t="str">
        <f>HYPERLINK("https://zfin.org/ZDB-GENE-040426-1016")</f>
        <v>https://zfin.org/ZDB-GENE-040426-1016</v>
      </c>
      <c r="K1805" t="s">
        <v>4213</v>
      </c>
    </row>
    <row r="1806" spans="1:11" x14ac:dyDescent="0.2">
      <c r="A1806">
        <v>1.27673320786451E-9</v>
      </c>
      <c r="B1806">
        <v>0.54516539399402897</v>
      </c>
      <c r="C1806">
        <v>0.58299999999999996</v>
      </c>
      <c r="D1806">
        <v>0.23499999999999999</v>
      </c>
      <c r="E1806">
        <v>1.9767660257366198E-5</v>
      </c>
      <c r="F1806">
        <v>2</v>
      </c>
      <c r="G1806" t="s">
        <v>4214</v>
      </c>
      <c r="H1806" t="s">
        <v>4215</v>
      </c>
      <c r="I1806" t="s">
        <v>4214</v>
      </c>
      <c r="J1806" s="1" t="str">
        <f>HYPERLINK("https://zfin.org/ZDB-GENE-040426-1327")</f>
        <v>https://zfin.org/ZDB-GENE-040426-1327</v>
      </c>
      <c r="K1806" t="s">
        <v>4216</v>
      </c>
    </row>
    <row r="1807" spans="1:11" x14ac:dyDescent="0.2">
      <c r="A1807">
        <v>1.33546923906976E-9</v>
      </c>
      <c r="B1807">
        <v>0.26438579608116602</v>
      </c>
      <c r="C1807">
        <v>0.26700000000000002</v>
      </c>
      <c r="D1807">
        <v>0.06</v>
      </c>
      <c r="E1807">
        <v>2.0677070228517099E-5</v>
      </c>
      <c r="F1807">
        <v>2</v>
      </c>
      <c r="G1807" t="s">
        <v>2696</v>
      </c>
      <c r="H1807" t="s">
        <v>2697</v>
      </c>
      <c r="I1807" t="s">
        <v>2696</v>
      </c>
      <c r="J1807" s="1" t="str">
        <f>HYPERLINK("https://zfin.org/ZDB-GENE-070912-417")</f>
        <v>https://zfin.org/ZDB-GENE-070912-417</v>
      </c>
      <c r="K1807" t="s">
        <v>2698</v>
      </c>
    </row>
    <row r="1808" spans="1:11" x14ac:dyDescent="0.2">
      <c r="A1808">
        <v>1.3886659175985399E-9</v>
      </c>
      <c r="B1808">
        <v>0.36796301982284801</v>
      </c>
      <c r="C1808">
        <v>0.26700000000000002</v>
      </c>
      <c r="D1808">
        <v>6.2E-2</v>
      </c>
      <c r="E1808">
        <v>2.1500714402178102E-5</v>
      </c>
      <c r="F1808">
        <v>2</v>
      </c>
      <c r="G1808" t="s">
        <v>4217</v>
      </c>
      <c r="H1808" t="s">
        <v>4218</v>
      </c>
      <c r="I1808" t="s">
        <v>4217</v>
      </c>
      <c r="J1808" s="1" t="str">
        <f>HYPERLINK("https://zfin.org/ZDB-GENE-040426-1480")</f>
        <v>https://zfin.org/ZDB-GENE-040426-1480</v>
      </c>
      <c r="K1808" t="s">
        <v>4219</v>
      </c>
    </row>
    <row r="1809" spans="1:11" x14ac:dyDescent="0.2">
      <c r="A1809">
        <v>1.40618315271675E-9</v>
      </c>
      <c r="B1809">
        <v>0.63043077295597805</v>
      </c>
      <c r="C1809">
        <v>0.85</v>
      </c>
      <c r="D1809">
        <v>0.51600000000000001</v>
      </c>
      <c r="E1809">
        <v>2.1771933753513399E-5</v>
      </c>
      <c r="F1809">
        <v>2</v>
      </c>
      <c r="G1809" t="s">
        <v>4220</v>
      </c>
      <c r="H1809" t="s">
        <v>4221</v>
      </c>
      <c r="I1809" t="s">
        <v>4220</v>
      </c>
      <c r="J1809" s="1" t="str">
        <f>HYPERLINK("https://zfin.org/ZDB-GENE-040426-2133")</f>
        <v>https://zfin.org/ZDB-GENE-040426-2133</v>
      </c>
      <c r="K1809" t="s">
        <v>4222</v>
      </c>
    </row>
    <row r="1810" spans="1:11" x14ac:dyDescent="0.2">
      <c r="A1810">
        <v>1.4384013536438099E-9</v>
      </c>
      <c r="B1810">
        <v>-1.2010350103301</v>
      </c>
      <c r="C1810">
        <v>0.2</v>
      </c>
      <c r="D1810">
        <v>0.56200000000000006</v>
      </c>
      <c r="E1810">
        <v>2.2270768158467101E-5</v>
      </c>
      <c r="F1810">
        <v>2</v>
      </c>
      <c r="G1810" t="s">
        <v>2814</v>
      </c>
      <c r="H1810" t="s">
        <v>2815</v>
      </c>
      <c r="I1810" t="s">
        <v>2814</v>
      </c>
      <c r="J1810" s="1" t="str">
        <f>HYPERLINK("https://zfin.org/ZDB-GENE-051023-8")</f>
        <v>https://zfin.org/ZDB-GENE-051023-8</v>
      </c>
      <c r="K1810" t="s">
        <v>2816</v>
      </c>
    </row>
    <row r="1811" spans="1:11" x14ac:dyDescent="0.2">
      <c r="A1811">
        <v>1.5687018731282201E-9</v>
      </c>
      <c r="B1811">
        <v>-1.6383363773977799</v>
      </c>
      <c r="C1811">
        <v>0.2</v>
      </c>
      <c r="D1811">
        <v>0.54700000000000004</v>
      </c>
      <c r="E1811">
        <v>2.4288211101644298E-5</v>
      </c>
      <c r="F1811">
        <v>2</v>
      </c>
      <c r="G1811" t="s">
        <v>2681</v>
      </c>
      <c r="H1811" t="s">
        <v>2682</v>
      </c>
      <c r="I1811" t="s">
        <v>2681</v>
      </c>
      <c r="J1811" s="1" t="str">
        <f>HYPERLINK("https://zfin.org/ZDB-GENE-030131-2159")</f>
        <v>https://zfin.org/ZDB-GENE-030131-2159</v>
      </c>
      <c r="K1811" t="s">
        <v>2683</v>
      </c>
    </row>
    <row r="1812" spans="1:11" x14ac:dyDescent="0.2">
      <c r="A1812">
        <v>1.5895362488592099E-9</v>
      </c>
      <c r="B1812">
        <v>-0.84595102107315501</v>
      </c>
      <c r="C1812">
        <v>0.78300000000000003</v>
      </c>
      <c r="D1812">
        <v>0.879</v>
      </c>
      <c r="E1812">
        <v>2.4610789741087199E-5</v>
      </c>
      <c r="F1812">
        <v>2</v>
      </c>
      <c r="G1812" t="s">
        <v>4223</v>
      </c>
      <c r="H1812" t="s">
        <v>4224</v>
      </c>
      <c r="I1812" t="s">
        <v>4223</v>
      </c>
      <c r="J1812" s="1" t="str">
        <f>HYPERLINK("https://zfin.org/ZDB-GENE-030131-7859")</f>
        <v>https://zfin.org/ZDB-GENE-030131-7859</v>
      </c>
      <c r="K1812" t="s">
        <v>4225</v>
      </c>
    </row>
    <row r="1813" spans="1:11" x14ac:dyDescent="0.2">
      <c r="A1813">
        <v>1.593855204886E-9</v>
      </c>
      <c r="B1813">
        <v>0.500124609194881</v>
      </c>
      <c r="C1813">
        <v>0.3</v>
      </c>
      <c r="D1813">
        <v>7.5999999999999998E-2</v>
      </c>
      <c r="E1813">
        <v>2.4677660137249902E-5</v>
      </c>
      <c r="F1813">
        <v>2</v>
      </c>
      <c r="G1813" t="s">
        <v>4226</v>
      </c>
      <c r="H1813" t="s">
        <v>4227</v>
      </c>
      <c r="I1813" t="s">
        <v>4226</v>
      </c>
      <c r="J1813" s="1" t="str">
        <f>HYPERLINK("https://zfin.org/ZDB-GENE-120420-1")</f>
        <v>https://zfin.org/ZDB-GENE-120420-1</v>
      </c>
      <c r="K1813" t="s">
        <v>4228</v>
      </c>
    </row>
    <row r="1814" spans="1:11" x14ac:dyDescent="0.2">
      <c r="A1814">
        <v>1.6264005646986999E-9</v>
      </c>
      <c r="B1814">
        <v>0.62445793335509703</v>
      </c>
      <c r="C1814">
        <v>0.75</v>
      </c>
      <c r="D1814">
        <v>0.35899999999999999</v>
      </c>
      <c r="E1814">
        <v>2.5181559943229999E-5</v>
      </c>
      <c r="F1814">
        <v>2</v>
      </c>
      <c r="G1814" t="s">
        <v>4229</v>
      </c>
      <c r="H1814" t="s">
        <v>4230</v>
      </c>
      <c r="I1814" t="s">
        <v>4229</v>
      </c>
      <c r="J1814" s="1" t="str">
        <f>HYPERLINK("https://zfin.org/ZDB-GENE-070629-3")</f>
        <v>https://zfin.org/ZDB-GENE-070629-3</v>
      </c>
      <c r="K1814" t="s">
        <v>4231</v>
      </c>
    </row>
    <row r="1815" spans="1:11" x14ac:dyDescent="0.2">
      <c r="A1815">
        <v>1.7030506161893099E-9</v>
      </c>
      <c r="B1815">
        <v>1.0484068721081801</v>
      </c>
      <c r="C1815">
        <v>0.83299999999999996</v>
      </c>
      <c r="D1815">
        <v>0.57399999999999995</v>
      </c>
      <c r="E1815">
        <v>2.6368332690458999E-5</v>
      </c>
      <c r="F1815">
        <v>2</v>
      </c>
      <c r="G1815" t="s">
        <v>884</v>
      </c>
      <c r="H1815" t="s">
        <v>885</v>
      </c>
      <c r="I1815" t="s">
        <v>884</v>
      </c>
      <c r="J1815" s="1" t="str">
        <f>HYPERLINK("https://zfin.org/ZDB-GENE-071004-57")</f>
        <v>https://zfin.org/ZDB-GENE-071004-57</v>
      </c>
      <c r="K1815" t="s">
        <v>886</v>
      </c>
    </row>
    <row r="1816" spans="1:11" x14ac:dyDescent="0.2">
      <c r="A1816">
        <v>1.73280952133252E-9</v>
      </c>
      <c r="B1816">
        <v>0.25595762506710901</v>
      </c>
      <c r="C1816">
        <v>0.33300000000000002</v>
      </c>
      <c r="D1816">
        <v>8.6999999999999994E-2</v>
      </c>
      <c r="E1816">
        <v>2.6829089818791399E-5</v>
      </c>
      <c r="F1816">
        <v>2</v>
      </c>
      <c r="G1816" t="s">
        <v>4232</v>
      </c>
      <c r="H1816" t="s">
        <v>4233</v>
      </c>
      <c r="I1816" t="s">
        <v>4232</v>
      </c>
      <c r="J1816" s="1" t="str">
        <f>HYPERLINK("https://zfin.org/ZDB-GENE-040426-1082")</f>
        <v>https://zfin.org/ZDB-GENE-040426-1082</v>
      </c>
      <c r="K1816" t="s">
        <v>4234</v>
      </c>
    </row>
    <row r="1817" spans="1:11" x14ac:dyDescent="0.2">
      <c r="A1817">
        <v>1.7384941432231699E-9</v>
      </c>
      <c r="B1817">
        <v>-1.2177042253666199</v>
      </c>
      <c r="C1817">
        <v>0.15</v>
      </c>
      <c r="D1817">
        <v>0.53</v>
      </c>
      <c r="E1817">
        <v>2.6917104819524401E-5</v>
      </c>
      <c r="F1817">
        <v>2</v>
      </c>
      <c r="G1817" t="s">
        <v>2766</v>
      </c>
      <c r="H1817" t="s">
        <v>2767</v>
      </c>
      <c r="I1817" t="s">
        <v>2766</v>
      </c>
      <c r="J1817" s="1" t="str">
        <f>HYPERLINK("https://zfin.org/ZDB-GENE-041114-138")</f>
        <v>https://zfin.org/ZDB-GENE-041114-138</v>
      </c>
      <c r="K1817" t="s">
        <v>2768</v>
      </c>
    </row>
    <row r="1818" spans="1:11" x14ac:dyDescent="0.2">
      <c r="A1818">
        <v>1.8305239843424401E-9</v>
      </c>
      <c r="B1818">
        <v>0.41207799172537801</v>
      </c>
      <c r="C1818">
        <v>0.25</v>
      </c>
      <c r="D1818">
        <v>5.5E-2</v>
      </c>
      <c r="E1818">
        <v>2.83420028495741E-5</v>
      </c>
      <c r="F1818">
        <v>2</v>
      </c>
      <c r="G1818" t="s">
        <v>4235</v>
      </c>
      <c r="H1818" t="s">
        <v>4236</v>
      </c>
      <c r="I1818" t="s">
        <v>4235</v>
      </c>
      <c r="J1818" s="1" t="str">
        <f>HYPERLINK("https://zfin.org/ZDB-GENE-051113-312")</f>
        <v>https://zfin.org/ZDB-GENE-051113-312</v>
      </c>
      <c r="K1818" t="s">
        <v>4237</v>
      </c>
    </row>
    <row r="1819" spans="1:11" x14ac:dyDescent="0.2">
      <c r="A1819">
        <v>1.84457343470544E-9</v>
      </c>
      <c r="B1819">
        <v>0.53322794186223199</v>
      </c>
      <c r="C1819">
        <v>0.58299999999999996</v>
      </c>
      <c r="D1819">
        <v>0.24</v>
      </c>
      <c r="E1819">
        <v>2.8559530489544401E-5</v>
      </c>
      <c r="F1819">
        <v>2</v>
      </c>
      <c r="G1819" t="s">
        <v>2120</v>
      </c>
      <c r="H1819" t="s">
        <v>2121</v>
      </c>
      <c r="I1819" t="s">
        <v>2120</v>
      </c>
      <c r="J1819" s="1" t="str">
        <f>HYPERLINK("https://zfin.org/ZDB-GENE-991008-18")</f>
        <v>https://zfin.org/ZDB-GENE-991008-18</v>
      </c>
      <c r="K1819" t="s">
        <v>2122</v>
      </c>
    </row>
    <row r="1820" spans="1:11" x14ac:dyDescent="0.2">
      <c r="A1820">
        <v>1.9604370960015299E-9</v>
      </c>
      <c r="B1820">
        <v>0.28449097411190399</v>
      </c>
      <c r="C1820">
        <v>0.183</v>
      </c>
      <c r="D1820">
        <v>3.1E-2</v>
      </c>
      <c r="E1820">
        <v>3.0353447557391601E-5</v>
      </c>
      <c r="F1820">
        <v>2</v>
      </c>
      <c r="G1820" t="s">
        <v>4238</v>
      </c>
      <c r="H1820" t="s">
        <v>4239</v>
      </c>
      <c r="I1820" t="s">
        <v>4238</v>
      </c>
      <c r="J1820" s="1" t="str">
        <f>HYPERLINK("https://zfin.org/ZDB-GENE-040426-1113")</f>
        <v>https://zfin.org/ZDB-GENE-040426-1113</v>
      </c>
      <c r="K1820" t="s">
        <v>4240</v>
      </c>
    </row>
    <row r="1821" spans="1:11" x14ac:dyDescent="0.2">
      <c r="A1821">
        <v>1.9972729161881502E-9</v>
      </c>
      <c r="B1821">
        <v>0.53513732767705202</v>
      </c>
      <c r="C1821">
        <v>0.433</v>
      </c>
      <c r="D1821">
        <v>0.15</v>
      </c>
      <c r="E1821">
        <v>3.0923776561341099E-5</v>
      </c>
      <c r="F1821">
        <v>2</v>
      </c>
      <c r="G1821" t="s">
        <v>4241</v>
      </c>
      <c r="H1821" t="s">
        <v>4242</v>
      </c>
      <c r="I1821" t="s">
        <v>4241</v>
      </c>
      <c r="J1821" s="1" t="str">
        <f>HYPERLINK("https://zfin.org/ZDB-GENE-020402-4")</f>
        <v>https://zfin.org/ZDB-GENE-020402-4</v>
      </c>
      <c r="K1821" t="s">
        <v>4243</v>
      </c>
    </row>
    <row r="1822" spans="1:11" x14ac:dyDescent="0.2">
      <c r="A1822">
        <v>2.3005267241529099E-9</v>
      </c>
      <c r="B1822">
        <v>0.367474267362558</v>
      </c>
      <c r="C1822">
        <v>0.183</v>
      </c>
      <c r="D1822">
        <v>3.2000000000000001E-2</v>
      </c>
      <c r="E1822">
        <v>3.5619055270059402E-5</v>
      </c>
      <c r="F1822">
        <v>2</v>
      </c>
      <c r="G1822" t="s">
        <v>4244</v>
      </c>
      <c r="H1822" t="s">
        <v>4245</v>
      </c>
      <c r="I1822" t="s">
        <v>4244</v>
      </c>
      <c r="J1822" s="1" t="str">
        <f>HYPERLINK("https://zfin.org/ZDB-GENE-060810-7")</f>
        <v>https://zfin.org/ZDB-GENE-060810-7</v>
      </c>
      <c r="K1822" t="s">
        <v>4246</v>
      </c>
    </row>
    <row r="1823" spans="1:11" x14ac:dyDescent="0.2">
      <c r="A1823">
        <v>2.3613495946356901E-9</v>
      </c>
      <c r="B1823">
        <v>0.42812758996014</v>
      </c>
      <c r="C1823">
        <v>1</v>
      </c>
      <c r="D1823">
        <v>0.93500000000000005</v>
      </c>
      <c r="E1823">
        <v>3.65607757737444E-5</v>
      </c>
      <c r="F1823">
        <v>2</v>
      </c>
      <c r="G1823" t="s">
        <v>4247</v>
      </c>
      <c r="H1823" t="s">
        <v>4248</v>
      </c>
      <c r="I1823" t="s">
        <v>4247</v>
      </c>
      <c r="J1823" s="1" t="str">
        <f>HYPERLINK("https://zfin.org/ZDB-GENE-990415-95")</f>
        <v>https://zfin.org/ZDB-GENE-990415-95</v>
      </c>
      <c r="K1823" t="s">
        <v>4249</v>
      </c>
    </row>
    <row r="1824" spans="1:11" x14ac:dyDescent="0.2">
      <c r="A1824">
        <v>2.63158595741701E-9</v>
      </c>
      <c r="B1824">
        <v>0.28516987038770297</v>
      </c>
      <c r="C1824">
        <v>0.15</v>
      </c>
      <c r="D1824">
        <v>2.3E-2</v>
      </c>
      <c r="E1824">
        <v>4.07448453786876E-5</v>
      </c>
      <c r="F1824">
        <v>2</v>
      </c>
      <c r="G1824" t="s">
        <v>956</v>
      </c>
      <c r="H1824" t="s">
        <v>957</v>
      </c>
      <c r="I1824" t="s">
        <v>956</v>
      </c>
      <c r="J1824" s="1" t="str">
        <f>HYPERLINK("https://zfin.org/ZDB-GENE-061207-9")</f>
        <v>https://zfin.org/ZDB-GENE-061207-9</v>
      </c>
      <c r="K1824" t="s">
        <v>958</v>
      </c>
    </row>
    <row r="1825" spans="1:11" x14ac:dyDescent="0.2">
      <c r="A1825">
        <v>2.6337848904964999E-9</v>
      </c>
      <c r="B1825">
        <v>-1.12498332881721</v>
      </c>
      <c r="C1825">
        <v>0.23300000000000001</v>
      </c>
      <c r="D1825">
        <v>0.56200000000000006</v>
      </c>
      <c r="E1825">
        <v>4.0778891459557297E-5</v>
      </c>
      <c r="F1825">
        <v>2</v>
      </c>
      <c r="G1825" t="s">
        <v>2395</v>
      </c>
      <c r="H1825" t="s">
        <v>2396</v>
      </c>
      <c r="I1825" t="s">
        <v>2395</v>
      </c>
      <c r="J1825" s="1" t="str">
        <f>HYPERLINK("https://zfin.org/ZDB-GENE-990415-229")</f>
        <v>https://zfin.org/ZDB-GENE-990415-229</v>
      </c>
      <c r="K1825" t="s">
        <v>2397</v>
      </c>
    </row>
    <row r="1826" spans="1:11" x14ac:dyDescent="0.2">
      <c r="A1826">
        <v>2.9842566107224701E-9</v>
      </c>
      <c r="B1826">
        <v>-2.28158503620844</v>
      </c>
      <c r="C1826">
        <v>0.91700000000000004</v>
      </c>
      <c r="D1826">
        <v>0.94</v>
      </c>
      <c r="E1826">
        <v>4.6205245103816003E-5</v>
      </c>
      <c r="F1826">
        <v>2</v>
      </c>
      <c r="G1826" t="s">
        <v>2981</v>
      </c>
      <c r="H1826" t="s">
        <v>2982</v>
      </c>
      <c r="I1826" t="s">
        <v>2981</v>
      </c>
      <c r="J1826" s="1" t="str">
        <f>HYPERLINK("https://zfin.org/ZDB-GENE-121214-193")</f>
        <v>https://zfin.org/ZDB-GENE-121214-193</v>
      </c>
      <c r="K1826" t="s">
        <v>2983</v>
      </c>
    </row>
    <row r="1827" spans="1:11" x14ac:dyDescent="0.2">
      <c r="A1827">
        <v>2.9947099902521801E-9</v>
      </c>
      <c r="B1827">
        <v>0.30962274374466697</v>
      </c>
      <c r="C1827">
        <v>0.23300000000000001</v>
      </c>
      <c r="D1827">
        <v>4.9000000000000002E-2</v>
      </c>
      <c r="E1827">
        <v>4.6367094779074398E-5</v>
      </c>
      <c r="F1827">
        <v>2</v>
      </c>
      <c r="G1827" t="s">
        <v>4250</v>
      </c>
      <c r="H1827" t="s">
        <v>4251</v>
      </c>
      <c r="I1827" t="s">
        <v>4250</v>
      </c>
      <c r="J1827" s="1" t="str">
        <f>HYPERLINK("https://zfin.org/ZDB-GENE-050417-161")</f>
        <v>https://zfin.org/ZDB-GENE-050417-161</v>
      </c>
      <c r="K1827" t="s">
        <v>4252</v>
      </c>
    </row>
    <row r="1828" spans="1:11" x14ac:dyDescent="0.2">
      <c r="A1828">
        <v>3.0324270475573302E-9</v>
      </c>
      <c r="B1828">
        <v>0.266842745213766</v>
      </c>
      <c r="C1828">
        <v>0.183</v>
      </c>
      <c r="D1828">
        <v>3.2000000000000001E-2</v>
      </c>
      <c r="E1828">
        <v>4.6951067977330197E-5</v>
      </c>
      <c r="F1828">
        <v>2</v>
      </c>
      <c r="G1828" t="s">
        <v>4253</v>
      </c>
      <c r="H1828" t="s">
        <v>4254</v>
      </c>
      <c r="I1828" t="s">
        <v>4253</v>
      </c>
      <c r="J1828" s="1" t="str">
        <f>HYPERLINK("https://zfin.org/ZDB-GENE-030131-1723")</f>
        <v>https://zfin.org/ZDB-GENE-030131-1723</v>
      </c>
      <c r="K1828" t="s">
        <v>4255</v>
      </c>
    </row>
    <row r="1829" spans="1:11" x14ac:dyDescent="0.2">
      <c r="A1829">
        <v>3.1087075472799102E-9</v>
      </c>
      <c r="B1829">
        <v>0.567090686089188</v>
      </c>
      <c r="C1829">
        <v>0.8</v>
      </c>
      <c r="D1829">
        <v>0.435</v>
      </c>
      <c r="E1829">
        <v>4.81321189545348E-5</v>
      </c>
      <c r="F1829">
        <v>2</v>
      </c>
      <c r="G1829" t="s">
        <v>2546</v>
      </c>
      <c r="H1829" t="s">
        <v>2547</v>
      </c>
      <c r="I1829" t="s">
        <v>2546</v>
      </c>
      <c r="J1829" s="1" t="str">
        <f>HYPERLINK("https://zfin.org/ZDB-GENE-030131-6614")</f>
        <v>https://zfin.org/ZDB-GENE-030131-6614</v>
      </c>
      <c r="K1829" t="s">
        <v>2548</v>
      </c>
    </row>
    <row r="1830" spans="1:11" x14ac:dyDescent="0.2">
      <c r="A1830">
        <v>3.12728791160291E-9</v>
      </c>
      <c r="B1830">
        <v>0.270233829079702</v>
      </c>
      <c r="C1830">
        <v>0.217</v>
      </c>
      <c r="D1830">
        <v>4.2999999999999997E-2</v>
      </c>
      <c r="E1830">
        <v>4.8419798735347799E-5</v>
      </c>
      <c r="F1830">
        <v>2</v>
      </c>
      <c r="G1830" t="s">
        <v>4256</v>
      </c>
      <c r="H1830" t="s">
        <v>4257</v>
      </c>
      <c r="I1830" t="s">
        <v>4256</v>
      </c>
      <c r="J1830" s="1" t="str">
        <f>HYPERLINK("https://zfin.org/ZDB-GENE-041008-25")</f>
        <v>https://zfin.org/ZDB-GENE-041008-25</v>
      </c>
      <c r="K1830" t="s">
        <v>4258</v>
      </c>
    </row>
    <row r="1831" spans="1:11" x14ac:dyDescent="0.2">
      <c r="A1831">
        <v>3.1534113831837099E-9</v>
      </c>
      <c r="B1831">
        <v>0.62437029485822204</v>
      </c>
      <c r="C1831">
        <v>0.51700000000000002</v>
      </c>
      <c r="D1831">
        <v>0.19900000000000001</v>
      </c>
      <c r="E1831">
        <v>4.8824268445833297E-5</v>
      </c>
      <c r="F1831">
        <v>2</v>
      </c>
      <c r="G1831" t="s">
        <v>1309</v>
      </c>
      <c r="H1831" t="s">
        <v>1310</v>
      </c>
      <c r="I1831" t="s">
        <v>1309</v>
      </c>
      <c r="J1831" s="1" t="str">
        <f>HYPERLINK("https://zfin.org/ZDB-GENE-040426-1784")</f>
        <v>https://zfin.org/ZDB-GENE-040426-1784</v>
      </c>
      <c r="K1831" t="s">
        <v>1311</v>
      </c>
    </row>
    <row r="1832" spans="1:11" x14ac:dyDescent="0.2">
      <c r="A1832">
        <v>3.1593033210261799E-9</v>
      </c>
      <c r="B1832">
        <v>-1.50224099702319</v>
      </c>
      <c r="C1832">
        <v>0.317</v>
      </c>
      <c r="D1832">
        <v>0.6</v>
      </c>
      <c r="E1832">
        <v>4.8915493319448302E-5</v>
      </c>
      <c r="F1832">
        <v>2</v>
      </c>
      <c r="G1832" t="s">
        <v>2826</v>
      </c>
      <c r="H1832" t="s">
        <v>2827</v>
      </c>
      <c r="I1832" t="s">
        <v>2826</v>
      </c>
      <c r="J1832" s="1" t="str">
        <f>HYPERLINK("https://zfin.org/ZDB-GENE-040426-2826")</f>
        <v>https://zfin.org/ZDB-GENE-040426-2826</v>
      </c>
      <c r="K1832" t="s">
        <v>2828</v>
      </c>
    </row>
    <row r="1833" spans="1:11" x14ac:dyDescent="0.2">
      <c r="A1833">
        <v>3.1659790559767699E-9</v>
      </c>
      <c r="B1833">
        <v>0.27977440638672302</v>
      </c>
      <c r="C1833">
        <v>0.3</v>
      </c>
      <c r="D1833">
        <v>7.4999999999999997E-2</v>
      </c>
      <c r="E1833">
        <v>4.9018853723688298E-5</v>
      </c>
      <c r="F1833">
        <v>2</v>
      </c>
      <c r="G1833" t="s">
        <v>4259</v>
      </c>
      <c r="H1833" t="s">
        <v>4260</v>
      </c>
      <c r="I1833" t="s">
        <v>4259</v>
      </c>
      <c r="J1833" s="1" t="str">
        <f>HYPERLINK("https://zfin.org/ZDB-GENE-040718-295")</f>
        <v>https://zfin.org/ZDB-GENE-040718-295</v>
      </c>
      <c r="K1833" t="s">
        <v>4261</v>
      </c>
    </row>
    <row r="1834" spans="1:11" x14ac:dyDescent="0.2">
      <c r="A1834">
        <v>3.2398091085456301E-9</v>
      </c>
      <c r="B1834">
        <v>0.25451921836691499</v>
      </c>
      <c r="C1834">
        <v>0.25</v>
      </c>
      <c r="D1834">
        <v>5.5E-2</v>
      </c>
      <c r="E1834">
        <v>5.0161964427612102E-5</v>
      </c>
      <c r="F1834">
        <v>2</v>
      </c>
      <c r="G1834" t="s">
        <v>4262</v>
      </c>
      <c r="H1834" t="s">
        <v>4263</v>
      </c>
      <c r="I1834" t="s">
        <v>4262</v>
      </c>
      <c r="J1834" s="1" t="str">
        <f>HYPERLINK("https://zfin.org/ZDB-GENE-050417-179")</f>
        <v>https://zfin.org/ZDB-GENE-050417-179</v>
      </c>
      <c r="K1834" t="s">
        <v>4264</v>
      </c>
    </row>
    <row r="1835" spans="1:11" x14ac:dyDescent="0.2">
      <c r="A1835">
        <v>3.8108369769251602E-9</v>
      </c>
      <c r="B1835">
        <v>0.53287959825185904</v>
      </c>
      <c r="C1835">
        <v>0.86699999999999999</v>
      </c>
      <c r="D1835">
        <v>0.52600000000000002</v>
      </c>
      <c r="E1835">
        <v>5.9003188913732203E-5</v>
      </c>
      <c r="F1835">
        <v>2</v>
      </c>
      <c r="G1835" t="s">
        <v>3371</v>
      </c>
      <c r="H1835" t="s">
        <v>3372</v>
      </c>
      <c r="I1835" t="s">
        <v>3371</v>
      </c>
      <c r="J1835" s="1" t="str">
        <f>HYPERLINK("https://zfin.org/ZDB-GENE-040426-2717")</f>
        <v>https://zfin.org/ZDB-GENE-040426-2717</v>
      </c>
      <c r="K1835" t="s">
        <v>3373</v>
      </c>
    </row>
    <row r="1836" spans="1:11" x14ac:dyDescent="0.2">
      <c r="A1836">
        <v>3.8805403430181903E-9</v>
      </c>
      <c r="B1836">
        <v>0.37753119287937398</v>
      </c>
      <c r="C1836">
        <v>0.317</v>
      </c>
      <c r="D1836">
        <v>8.5999999999999993E-2</v>
      </c>
      <c r="E1836">
        <v>6.00824061309507E-5</v>
      </c>
      <c r="F1836">
        <v>2</v>
      </c>
      <c r="G1836" t="s">
        <v>4265</v>
      </c>
      <c r="H1836" t="s">
        <v>4266</v>
      </c>
      <c r="I1836" t="s">
        <v>4265</v>
      </c>
      <c r="J1836" s="1" t="str">
        <f>HYPERLINK("https://zfin.org/ZDB-GENE-050522-152")</f>
        <v>https://zfin.org/ZDB-GENE-050522-152</v>
      </c>
      <c r="K1836" t="s">
        <v>4267</v>
      </c>
    </row>
    <row r="1837" spans="1:11" x14ac:dyDescent="0.2">
      <c r="A1837">
        <v>3.9113793755747698E-9</v>
      </c>
      <c r="B1837">
        <v>0.52875968562353304</v>
      </c>
      <c r="C1837">
        <v>0.95</v>
      </c>
      <c r="D1837">
        <v>0.78900000000000003</v>
      </c>
      <c r="E1837">
        <v>6.0559886872024103E-5</v>
      </c>
      <c r="F1837">
        <v>2</v>
      </c>
      <c r="G1837" t="s">
        <v>4268</v>
      </c>
      <c r="H1837" t="s">
        <v>4269</v>
      </c>
      <c r="I1837" t="s">
        <v>4268</v>
      </c>
      <c r="J1837" s="1" t="str">
        <f>HYPERLINK("https://zfin.org/ZDB-GENE-030131-5841")</f>
        <v>https://zfin.org/ZDB-GENE-030131-5841</v>
      </c>
      <c r="K1837" t="s">
        <v>4270</v>
      </c>
    </row>
    <row r="1838" spans="1:11" x14ac:dyDescent="0.2">
      <c r="A1838">
        <v>3.9372196107123997E-9</v>
      </c>
      <c r="B1838">
        <v>0.48083183796970003</v>
      </c>
      <c r="C1838">
        <v>0.45</v>
      </c>
      <c r="D1838">
        <v>0.154</v>
      </c>
      <c r="E1838">
        <v>6.0959971232660001E-5</v>
      </c>
      <c r="F1838">
        <v>2</v>
      </c>
      <c r="G1838" t="s">
        <v>4271</v>
      </c>
      <c r="H1838" t="s">
        <v>4272</v>
      </c>
      <c r="I1838" t="s">
        <v>4271</v>
      </c>
      <c r="J1838" s="1" t="str">
        <f>HYPERLINK("https://zfin.org/ZDB-GENE-040426-957")</f>
        <v>https://zfin.org/ZDB-GENE-040426-957</v>
      </c>
      <c r="K1838" t="s">
        <v>4273</v>
      </c>
    </row>
    <row r="1839" spans="1:11" x14ac:dyDescent="0.2">
      <c r="A1839">
        <v>4.0424310119840099E-9</v>
      </c>
      <c r="B1839">
        <v>0.36272453968226598</v>
      </c>
      <c r="C1839">
        <v>0.28299999999999997</v>
      </c>
      <c r="D1839">
        <v>7.1999999999999995E-2</v>
      </c>
      <c r="E1839">
        <v>6.2588959358548404E-5</v>
      </c>
      <c r="F1839">
        <v>2</v>
      </c>
      <c r="G1839" t="s">
        <v>857</v>
      </c>
      <c r="H1839" t="s">
        <v>858</v>
      </c>
      <c r="I1839" t="s">
        <v>857</v>
      </c>
      <c r="J1839" s="1" t="str">
        <f>HYPERLINK("https://zfin.org/ZDB-GENE-010724-8")</f>
        <v>https://zfin.org/ZDB-GENE-010724-8</v>
      </c>
      <c r="K1839" t="s">
        <v>859</v>
      </c>
    </row>
    <row r="1840" spans="1:11" x14ac:dyDescent="0.2">
      <c r="A1840">
        <v>4.1986749873484097E-9</v>
      </c>
      <c r="B1840">
        <v>0.251312575665395</v>
      </c>
      <c r="C1840">
        <v>0.26700000000000002</v>
      </c>
      <c r="D1840">
        <v>6.2E-2</v>
      </c>
      <c r="E1840">
        <v>6.5008084829115397E-5</v>
      </c>
      <c r="F1840">
        <v>2</v>
      </c>
      <c r="G1840" t="s">
        <v>4274</v>
      </c>
      <c r="H1840" t="s">
        <v>4275</v>
      </c>
      <c r="I1840" t="s">
        <v>4274</v>
      </c>
      <c r="J1840" s="1" t="str">
        <f>HYPERLINK("https://zfin.org/ZDB-GENE-030826-11")</f>
        <v>https://zfin.org/ZDB-GENE-030826-11</v>
      </c>
      <c r="K1840" t="s">
        <v>4276</v>
      </c>
    </row>
    <row r="1841" spans="1:11" x14ac:dyDescent="0.2">
      <c r="A1841">
        <v>4.3208097292985901E-9</v>
      </c>
      <c r="B1841">
        <v>0.39709421242674903</v>
      </c>
      <c r="C1841">
        <v>0.36699999999999999</v>
      </c>
      <c r="D1841">
        <v>0.11</v>
      </c>
      <c r="E1841">
        <v>6.6899097038730103E-5</v>
      </c>
      <c r="F1841">
        <v>2</v>
      </c>
      <c r="G1841" t="s">
        <v>953</v>
      </c>
      <c r="H1841" t="s">
        <v>954</v>
      </c>
      <c r="I1841" t="s">
        <v>953</v>
      </c>
      <c r="J1841" s="1" t="str">
        <f>HYPERLINK("https://zfin.org/ZDB-GENE-050208-437")</f>
        <v>https://zfin.org/ZDB-GENE-050208-437</v>
      </c>
      <c r="K1841" t="s">
        <v>955</v>
      </c>
    </row>
    <row r="1842" spans="1:11" x14ac:dyDescent="0.2">
      <c r="A1842">
        <v>4.3784736786845499E-9</v>
      </c>
      <c r="B1842">
        <v>0.259537825487549</v>
      </c>
      <c r="C1842">
        <v>0.183</v>
      </c>
      <c r="D1842">
        <v>3.3000000000000002E-2</v>
      </c>
      <c r="E1842">
        <v>6.7791907967073003E-5</v>
      </c>
      <c r="F1842">
        <v>2</v>
      </c>
      <c r="G1842" t="s">
        <v>1778</v>
      </c>
      <c r="H1842" t="s">
        <v>1779</v>
      </c>
      <c r="I1842" t="s">
        <v>1778</v>
      </c>
      <c r="J1842" s="1" t="str">
        <f>HYPERLINK("https://zfin.org/ZDB-GENE-120813-1")</f>
        <v>https://zfin.org/ZDB-GENE-120813-1</v>
      </c>
      <c r="K1842" t="s">
        <v>1780</v>
      </c>
    </row>
    <row r="1843" spans="1:11" x14ac:dyDescent="0.2">
      <c r="A1843">
        <v>4.4260709121186597E-9</v>
      </c>
      <c r="B1843">
        <v>0.26187766799761097</v>
      </c>
      <c r="C1843">
        <v>0.183</v>
      </c>
      <c r="D1843">
        <v>3.3000000000000002E-2</v>
      </c>
      <c r="E1843">
        <v>6.8528855932333194E-5</v>
      </c>
      <c r="F1843">
        <v>2</v>
      </c>
      <c r="G1843" t="s">
        <v>1916</v>
      </c>
      <c r="H1843" t="s">
        <v>1917</v>
      </c>
      <c r="I1843" t="s">
        <v>1916</v>
      </c>
      <c r="J1843" s="1" t="str">
        <f>HYPERLINK("https://zfin.org/ZDB-GENE-041010-163")</f>
        <v>https://zfin.org/ZDB-GENE-041010-163</v>
      </c>
      <c r="K1843" t="s">
        <v>1918</v>
      </c>
    </row>
    <row r="1844" spans="1:11" x14ac:dyDescent="0.2">
      <c r="A1844">
        <v>4.4639242016380303E-9</v>
      </c>
      <c r="B1844">
        <v>0.53069421988939502</v>
      </c>
      <c r="C1844">
        <v>0.83299999999999996</v>
      </c>
      <c r="D1844">
        <v>0.51300000000000001</v>
      </c>
      <c r="E1844">
        <v>6.9114938413961707E-5</v>
      </c>
      <c r="F1844">
        <v>2</v>
      </c>
      <c r="G1844" t="s">
        <v>4277</v>
      </c>
      <c r="H1844" t="s">
        <v>4278</v>
      </c>
      <c r="I1844" t="s">
        <v>4277</v>
      </c>
      <c r="J1844" s="1" t="str">
        <f>HYPERLINK("https://zfin.org/ZDB-GENE-030131-8284")</f>
        <v>https://zfin.org/ZDB-GENE-030131-8284</v>
      </c>
      <c r="K1844" t="s">
        <v>4279</v>
      </c>
    </row>
    <row r="1845" spans="1:11" x14ac:dyDescent="0.2">
      <c r="A1845">
        <v>4.7482756563973503E-9</v>
      </c>
      <c r="B1845">
        <v>0.61905579774825004</v>
      </c>
      <c r="C1845">
        <v>0.71699999999999997</v>
      </c>
      <c r="D1845">
        <v>0.39500000000000002</v>
      </c>
      <c r="E1845">
        <v>7.3517551988000197E-5</v>
      </c>
      <c r="F1845">
        <v>2</v>
      </c>
      <c r="G1845" t="s">
        <v>4280</v>
      </c>
      <c r="H1845" t="s">
        <v>4281</v>
      </c>
      <c r="I1845" t="s">
        <v>4280</v>
      </c>
      <c r="J1845" s="1" t="str">
        <f>HYPERLINK("https://zfin.org/ZDB-GENE-001212-1")</f>
        <v>https://zfin.org/ZDB-GENE-001212-1</v>
      </c>
      <c r="K1845" t="s">
        <v>4282</v>
      </c>
    </row>
    <row r="1846" spans="1:11" x14ac:dyDescent="0.2">
      <c r="A1846">
        <v>4.78247215785118E-9</v>
      </c>
      <c r="B1846">
        <v>0.30546227069475401</v>
      </c>
      <c r="C1846">
        <v>0.23300000000000001</v>
      </c>
      <c r="D1846">
        <v>0.05</v>
      </c>
      <c r="E1846">
        <v>7.4047016420009901E-5</v>
      </c>
      <c r="F1846">
        <v>2</v>
      </c>
      <c r="G1846" t="s">
        <v>4283</v>
      </c>
      <c r="H1846" t="s">
        <v>4284</v>
      </c>
      <c r="I1846" t="s">
        <v>4283</v>
      </c>
      <c r="J1846" s="1" t="str">
        <f>HYPERLINK("https://zfin.org/ZDB-GENE-061103-124")</f>
        <v>https://zfin.org/ZDB-GENE-061103-124</v>
      </c>
      <c r="K1846" t="s">
        <v>4285</v>
      </c>
    </row>
    <row r="1847" spans="1:11" x14ac:dyDescent="0.2">
      <c r="A1847">
        <v>4.9338965781866598E-9</v>
      </c>
      <c r="B1847">
        <v>0.25197533348226497</v>
      </c>
      <c r="C1847">
        <v>0.217</v>
      </c>
      <c r="D1847">
        <v>4.4999999999999998E-2</v>
      </c>
      <c r="E1847">
        <v>7.6391520720063999E-5</v>
      </c>
      <c r="F1847">
        <v>2</v>
      </c>
      <c r="G1847" t="s">
        <v>343</v>
      </c>
      <c r="H1847" t="s">
        <v>344</v>
      </c>
      <c r="I1847" t="s">
        <v>343</v>
      </c>
      <c r="J1847" s="1" t="str">
        <f>HYPERLINK("https://zfin.org/")</f>
        <v>https://zfin.org/</v>
      </c>
      <c r="K1847" t="s">
        <v>345</v>
      </c>
    </row>
    <row r="1848" spans="1:11" x14ac:dyDescent="0.2">
      <c r="A1848">
        <v>5.4215671742712996E-9</v>
      </c>
      <c r="B1848">
        <v>0.27517215712457899</v>
      </c>
      <c r="C1848">
        <v>0.317</v>
      </c>
      <c r="D1848">
        <v>8.3000000000000004E-2</v>
      </c>
      <c r="E1848">
        <v>8.3942124559242495E-5</v>
      </c>
      <c r="F1848">
        <v>2</v>
      </c>
      <c r="G1848" t="s">
        <v>4286</v>
      </c>
      <c r="H1848" t="s">
        <v>4287</v>
      </c>
      <c r="I1848" t="s">
        <v>4286</v>
      </c>
      <c r="J1848" s="1" t="str">
        <f>HYPERLINK("https://zfin.org/ZDB-GENE-080804-1")</f>
        <v>https://zfin.org/ZDB-GENE-080804-1</v>
      </c>
      <c r="K1848" t="s">
        <v>4288</v>
      </c>
    </row>
    <row r="1849" spans="1:11" x14ac:dyDescent="0.2">
      <c r="A1849">
        <v>5.65343726040372E-9</v>
      </c>
      <c r="B1849">
        <v>0.41547263829980602</v>
      </c>
      <c r="C1849">
        <v>0.26700000000000002</v>
      </c>
      <c r="D1849">
        <v>6.6000000000000003E-2</v>
      </c>
      <c r="E1849">
        <v>8.7532169102830901E-5</v>
      </c>
      <c r="F1849">
        <v>2</v>
      </c>
      <c r="G1849" t="s">
        <v>2368</v>
      </c>
      <c r="H1849" t="s">
        <v>2369</v>
      </c>
      <c r="I1849" t="s">
        <v>2368</v>
      </c>
      <c r="J1849" s="1" t="str">
        <f>HYPERLINK("https://zfin.org/ZDB-GENE-041114-141")</f>
        <v>https://zfin.org/ZDB-GENE-041114-141</v>
      </c>
      <c r="K1849" t="s">
        <v>2370</v>
      </c>
    </row>
    <row r="1850" spans="1:11" x14ac:dyDescent="0.2">
      <c r="A1850">
        <v>5.8193836045510498E-9</v>
      </c>
      <c r="B1850">
        <v>0.36659441434050599</v>
      </c>
      <c r="C1850">
        <v>0.317</v>
      </c>
      <c r="D1850">
        <v>8.7999999999999995E-2</v>
      </c>
      <c r="E1850">
        <v>9.0101516349263893E-5</v>
      </c>
      <c r="F1850">
        <v>2</v>
      </c>
      <c r="G1850" t="s">
        <v>1372</v>
      </c>
      <c r="H1850" t="s">
        <v>1373</v>
      </c>
      <c r="I1850" t="s">
        <v>1372</v>
      </c>
      <c r="J1850" s="1" t="str">
        <f>HYPERLINK("https://zfin.org/ZDB-GENE-020103-2")</f>
        <v>https://zfin.org/ZDB-GENE-020103-2</v>
      </c>
      <c r="K1850" t="s">
        <v>1374</v>
      </c>
    </row>
    <row r="1851" spans="1:11" x14ac:dyDescent="0.2">
      <c r="A1851">
        <v>5.8323124445738896E-9</v>
      </c>
      <c r="B1851">
        <v>-1.14032114661288</v>
      </c>
      <c r="C1851">
        <v>0.8</v>
      </c>
      <c r="D1851">
        <v>0.78400000000000003</v>
      </c>
      <c r="E1851">
        <v>9.0301693579337506E-5</v>
      </c>
      <c r="F1851">
        <v>2</v>
      </c>
      <c r="G1851" t="s">
        <v>2123</v>
      </c>
      <c r="H1851" t="s">
        <v>2124</v>
      </c>
      <c r="I1851" t="s">
        <v>2123</v>
      </c>
      <c r="J1851" s="1" t="str">
        <f>HYPERLINK("https://zfin.org/ZDB-GENE-141222-6")</f>
        <v>https://zfin.org/ZDB-GENE-141222-6</v>
      </c>
      <c r="K1851" t="s">
        <v>2125</v>
      </c>
    </row>
    <row r="1852" spans="1:11" x14ac:dyDescent="0.2">
      <c r="A1852">
        <v>1.8443773982873399E-95</v>
      </c>
      <c r="B1852">
        <v>1.6986912347762699</v>
      </c>
      <c r="C1852">
        <v>0.60599999999999998</v>
      </c>
      <c r="D1852">
        <v>3.9E-2</v>
      </c>
      <c r="E1852">
        <v>2.8556495257682798E-91</v>
      </c>
      <c r="F1852">
        <v>3</v>
      </c>
      <c r="G1852" t="s">
        <v>4289</v>
      </c>
      <c r="H1852" t="s">
        <v>4290</v>
      </c>
      <c r="I1852" t="s">
        <v>4289</v>
      </c>
      <c r="J1852" s="1" t="str">
        <f>HYPERLINK("https://zfin.org/ZDB-GENE-050327-77")</f>
        <v>https://zfin.org/ZDB-GENE-050327-77</v>
      </c>
      <c r="K1852" t="s">
        <v>4291</v>
      </c>
    </row>
    <row r="1853" spans="1:11" x14ac:dyDescent="0.2">
      <c r="A1853">
        <v>1.43180802682327E-84</v>
      </c>
      <c r="B1853">
        <v>1.39896974455002</v>
      </c>
      <c r="C1853">
        <v>0.56399999999999995</v>
      </c>
      <c r="D1853">
        <v>3.9E-2</v>
      </c>
      <c r="E1853">
        <v>2.2168683679304701E-80</v>
      </c>
      <c r="F1853">
        <v>3</v>
      </c>
      <c r="G1853" t="s">
        <v>4292</v>
      </c>
      <c r="H1853" t="s">
        <v>4293</v>
      </c>
      <c r="I1853" t="s">
        <v>4292</v>
      </c>
      <c r="J1853" s="1" t="str">
        <f>HYPERLINK("https://zfin.org/ZDB-GENE-040801-112")</f>
        <v>https://zfin.org/ZDB-GENE-040801-112</v>
      </c>
      <c r="K1853" t="s">
        <v>4294</v>
      </c>
    </row>
    <row r="1854" spans="1:11" x14ac:dyDescent="0.2">
      <c r="A1854">
        <v>1.96642159602188E-84</v>
      </c>
      <c r="B1854">
        <v>1.11387174889592</v>
      </c>
      <c r="C1854">
        <v>0.47899999999999998</v>
      </c>
      <c r="D1854">
        <v>2.3E-2</v>
      </c>
      <c r="E1854">
        <v>3.04461055712068E-80</v>
      </c>
      <c r="F1854">
        <v>3</v>
      </c>
      <c r="G1854" t="s">
        <v>4295</v>
      </c>
      <c r="H1854" t="s">
        <v>4296</v>
      </c>
      <c r="I1854" t="s">
        <v>4295</v>
      </c>
      <c r="J1854" s="1" t="str">
        <f>HYPERLINK("https://zfin.org/ZDB-GENE-020418-1")</f>
        <v>https://zfin.org/ZDB-GENE-020418-1</v>
      </c>
      <c r="K1854" t="s">
        <v>4297</v>
      </c>
    </row>
    <row r="1855" spans="1:11" x14ac:dyDescent="0.2">
      <c r="A1855">
        <v>4.8741167128736898E-83</v>
      </c>
      <c r="B1855">
        <v>1.4221072804121999</v>
      </c>
      <c r="C1855">
        <v>0.46800000000000003</v>
      </c>
      <c r="D1855">
        <v>2.1999999999999999E-2</v>
      </c>
      <c r="E1855">
        <v>7.5465949065423403E-79</v>
      </c>
      <c r="F1855">
        <v>3</v>
      </c>
      <c r="G1855" t="s">
        <v>4298</v>
      </c>
      <c r="H1855" t="s">
        <v>4299</v>
      </c>
      <c r="I1855" t="s">
        <v>4298</v>
      </c>
      <c r="J1855" s="1" t="str">
        <f>HYPERLINK("https://zfin.org/ZDB-GENE-030131-2453")</f>
        <v>https://zfin.org/ZDB-GENE-030131-2453</v>
      </c>
      <c r="K1855" t="s">
        <v>4300</v>
      </c>
    </row>
    <row r="1856" spans="1:11" x14ac:dyDescent="0.2">
      <c r="A1856">
        <v>8.6256147973409296E-83</v>
      </c>
      <c r="B1856">
        <v>1.67191880974577</v>
      </c>
      <c r="C1856">
        <v>0.70199999999999996</v>
      </c>
      <c r="D1856">
        <v>7.1999999999999995E-2</v>
      </c>
      <c r="E1856">
        <v>1.3355039390723001E-78</v>
      </c>
      <c r="F1856">
        <v>3</v>
      </c>
      <c r="G1856" t="s">
        <v>4301</v>
      </c>
      <c r="H1856" t="s">
        <v>4302</v>
      </c>
      <c r="I1856" t="s">
        <v>4301</v>
      </c>
      <c r="J1856" s="1" t="str">
        <f>HYPERLINK("https://zfin.org/ZDB-GENE-131127-543")</f>
        <v>https://zfin.org/ZDB-GENE-131127-543</v>
      </c>
      <c r="K1856" t="s">
        <v>4303</v>
      </c>
    </row>
    <row r="1857" spans="1:11" x14ac:dyDescent="0.2">
      <c r="A1857">
        <v>1.9967101311742399E-82</v>
      </c>
      <c r="B1857">
        <v>1.09849728756878</v>
      </c>
      <c r="C1857">
        <v>0.48899999999999999</v>
      </c>
      <c r="D1857">
        <v>2.5999999999999999E-2</v>
      </c>
      <c r="E1857">
        <v>3.09150629609708E-78</v>
      </c>
      <c r="F1857">
        <v>3</v>
      </c>
      <c r="G1857" t="s">
        <v>4304</v>
      </c>
      <c r="H1857" t="s">
        <v>4305</v>
      </c>
      <c r="I1857" t="s">
        <v>4304</v>
      </c>
      <c r="J1857" s="1" t="str">
        <f>HYPERLINK("https://zfin.org/ZDB-GENE-031118-197")</f>
        <v>https://zfin.org/ZDB-GENE-031118-197</v>
      </c>
      <c r="K1857" t="s">
        <v>4306</v>
      </c>
    </row>
    <row r="1858" spans="1:11" x14ac:dyDescent="0.2">
      <c r="A1858">
        <v>3.9998035388087301E-82</v>
      </c>
      <c r="B1858">
        <v>1.10659564065182</v>
      </c>
      <c r="C1858">
        <v>0.44700000000000001</v>
      </c>
      <c r="D1858">
        <v>0.02</v>
      </c>
      <c r="E1858">
        <v>6.1928958191375601E-78</v>
      </c>
      <c r="F1858">
        <v>3</v>
      </c>
      <c r="G1858" t="s">
        <v>4307</v>
      </c>
      <c r="H1858" t="s">
        <v>4308</v>
      </c>
      <c r="I1858" t="s">
        <v>4307</v>
      </c>
      <c r="J1858" s="1" t="str">
        <f>HYPERLINK("https://zfin.org/ZDB-GENE-050220-15")</f>
        <v>https://zfin.org/ZDB-GENE-050220-15</v>
      </c>
      <c r="K1858" t="s">
        <v>4309</v>
      </c>
    </row>
    <row r="1859" spans="1:11" x14ac:dyDescent="0.2">
      <c r="A1859">
        <v>4.4542741261641601E-82</v>
      </c>
      <c r="B1859">
        <v>2.0068049055792399</v>
      </c>
      <c r="C1859">
        <v>0.64900000000000002</v>
      </c>
      <c r="D1859">
        <v>0.06</v>
      </c>
      <c r="E1859">
        <v>6.8965526295399705E-78</v>
      </c>
      <c r="F1859">
        <v>3</v>
      </c>
      <c r="G1859" t="s">
        <v>4310</v>
      </c>
      <c r="H1859" t="s">
        <v>4311</v>
      </c>
      <c r="I1859" t="s">
        <v>4310</v>
      </c>
      <c r="J1859" s="1" t="str">
        <f>HYPERLINK("https://zfin.org/ZDB-GENE-990415-25")</f>
        <v>https://zfin.org/ZDB-GENE-990415-25</v>
      </c>
      <c r="K1859" t="s">
        <v>4312</v>
      </c>
    </row>
    <row r="1860" spans="1:11" x14ac:dyDescent="0.2">
      <c r="A1860">
        <v>5.2702973817378297E-81</v>
      </c>
      <c r="B1860">
        <v>1.26578338438051</v>
      </c>
      <c r="C1860">
        <v>0.52100000000000002</v>
      </c>
      <c r="D1860">
        <v>3.2000000000000001E-2</v>
      </c>
      <c r="E1860">
        <v>8.1600014361446803E-77</v>
      </c>
      <c r="F1860">
        <v>3</v>
      </c>
      <c r="G1860" t="s">
        <v>4313</v>
      </c>
      <c r="H1860" t="s">
        <v>4314</v>
      </c>
      <c r="I1860" t="s">
        <v>4313</v>
      </c>
      <c r="J1860" s="1" t="str">
        <f>HYPERLINK("https://zfin.org/ZDB-GENE-030131-9771")</f>
        <v>https://zfin.org/ZDB-GENE-030131-9771</v>
      </c>
      <c r="K1860" t="s">
        <v>4315</v>
      </c>
    </row>
    <row r="1861" spans="1:11" x14ac:dyDescent="0.2">
      <c r="A1861">
        <v>3.8489104373241601E-80</v>
      </c>
      <c r="B1861">
        <v>2.1616081186380098</v>
      </c>
      <c r="C1861">
        <v>0.84</v>
      </c>
      <c r="D1861">
        <v>0.14000000000000001</v>
      </c>
      <c r="E1861">
        <v>5.9592680301090005E-76</v>
      </c>
      <c r="F1861">
        <v>3</v>
      </c>
      <c r="G1861" t="s">
        <v>4316</v>
      </c>
      <c r="H1861" t="s">
        <v>4317</v>
      </c>
      <c r="I1861" t="s">
        <v>4316</v>
      </c>
      <c r="J1861" s="1" t="str">
        <f>HYPERLINK("https://zfin.org/ZDB-GENE-000210-8")</f>
        <v>https://zfin.org/ZDB-GENE-000210-8</v>
      </c>
      <c r="K1861" t="s">
        <v>4318</v>
      </c>
    </row>
    <row r="1862" spans="1:11" x14ac:dyDescent="0.2">
      <c r="A1862">
        <v>4.6998263651686898E-77</v>
      </c>
      <c r="B1862">
        <v>1.34057338272019</v>
      </c>
      <c r="C1862">
        <v>0.55300000000000005</v>
      </c>
      <c r="D1862">
        <v>4.2000000000000003E-2</v>
      </c>
      <c r="E1862">
        <v>7.2767411611906804E-73</v>
      </c>
      <c r="F1862">
        <v>3</v>
      </c>
      <c r="G1862" t="s">
        <v>4319</v>
      </c>
      <c r="H1862" t="s">
        <v>4320</v>
      </c>
      <c r="I1862" t="s">
        <v>4319</v>
      </c>
      <c r="J1862" s="1" t="str">
        <f>HYPERLINK("https://zfin.org/ZDB-GENE-030515-3")</f>
        <v>https://zfin.org/ZDB-GENE-030515-3</v>
      </c>
      <c r="K1862" t="s">
        <v>4321</v>
      </c>
    </row>
    <row r="1863" spans="1:11" x14ac:dyDescent="0.2">
      <c r="A1863">
        <v>4.4619856366036999E-76</v>
      </c>
      <c r="B1863">
        <v>1.0312263223413201</v>
      </c>
      <c r="C1863">
        <v>0.48899999999999999</v>
      </c>
      <c r="D1863">
        <v>0.03</v>
      </c>
      <c r="E1863">
        <v>6.9084923611535197E-72</v>
      </c>
      <c r="F1863">
        <v>3</v>
      </c>
      <c r="G1863" t="s">
        <v>4322</v>
      </c>
      <c r="H1863" t="s">
        <v>4323</v>
      </c>
      <c r="I1863" t="s">
        <v>4322</v>
      </c>
      <c r="J1863" s="1" t="str">
        <f>HYPERLINK("https://zfin.org/ZDB-GENE-020419-40")</f>
        <v>https://zfin.org/ZDB-GENE-020419-40</v>
      </c>
      <c r="K1863" t="s">
        <v>4324</v>
      </c>
    </row>
    <row r="1864" spans="1:11" x14ac:dyDescent="0.2">
      <c r="A1864">
        <v>5.0616725383696704E-75</v>
      </c>
      <c r="B1864">
        <v>1.53921096956138</v>
      </c>
      <c r="C1864">
        <v>0.51100000000000001</v>
      </c>
      <c r="D1864">
        <v>3.5999999999999997E-2</v>
      </c>
      <c r="E1864">
        <v>7.8369875911577604E-71</v>
      </c>
      <c r="F1864">
        <v>3</v>
      </c>
      <c r="G1864" t="s">
        <v>4325</v>
      </c>
      <c r="H1864" t="s">
        <v>4326</v>
      </c>
      <c r="I1864" t="s">
        <v>4325</v>
      </c>
      <c r="J1864" s="1" t="str">
        <f>HYPERLINK("https://zfin.org/ZDB-GENE-010320-1")</f>
        <v>https://zfin.org/ZDB-GENE-010320-1</v>
      </c>
      <c r="K1864" t="s">
        <v>4327</v>
      </c>
    </row>
    <row r="1865" spans="1:11" x14ac:dyDescent="0.2">
      <c r="A1865">
        <v>1.1582911539235901E-74</v>
      </c>
      <c r="B1865">
        <v>2.23536793476416</v>
      </c>
      <c r="C1865">
        <v>0.88300000000000001</v>
      </c>
      <c r="D1865">
        <v>0.184</v>
      </c>
      <c r="E1865">
        <v>1.7933821936198898E-70</v>
      </c>
      <c r="F1865">
        <v>3</v>
      </c>
      <c r="G1865" t="s">
        <v>4328</v>
      </c>
      <c r="H1865" t="s">
        <v>4329</v>
      </c>
      <c r="I1865" t="s">
        <v>4328</v>
      </c>
      <c r="J1865" s="1" t="str">
        <f>HYPERLINK("https://zfin.org/ZDB-GENE-031006-14")</f>
        <v>https://zfin.org/ZDB-GENE-031006-14</v>
      </c>
      <c r="K1865" t="s">
        <v>4330</v>
      </c>
    </row>
    <row r="1866" spans="1:11" x14ac:dyDescent="0.2">
      <c r="A1866">
        <v>5.2907007618155102E-74</v>
      </c>
      <c r="B1866">
        <v>0.97824360650222697</v>
      </c>
      <c r="C1866">
        <v>0.42599999999999999</v>
      </c>
      <c r="D1866">
        <v>2.1000000000000001E-2</v>
      </c>
      <c r="E1866">
        <v>8.1915919895189605E-70</v>
      </c>
      <c r="F1866">
        <v>3</v>
      </c>
      <c r="G1866" t="s">
        <v>4331</v>
      </c>
      <c r="H1866" t="s">
        <v>4332</v>
      </c>
      <c r="I1866" t="s">
        <v>4331</v>
      </c>
      <c r="J1866" s="1" t="str">
        <f>HYPERLINK("https://zfin.org/ZDB-GENE-050506-59")</f>
        <v>https://zfin.org/ZDB-GENE-050506-59</v>
      </c>
      <c r="K1866" t="s">
        <v>4333</v>
      </c>
    </row>
    <row r="1867" spans="1:11" x14ac:dyDescent="0.2">
      <c r="A1867">
        <v>9.2749459916891194E-74</v>
      </c>
      <c r="B1867">
        <v>1.59444272094036</v>
      </c>
      <c r="C1867">
        <v>0.57399999999999995</v>
      </c>
      <c r="D1867">
        <v>5.0999999999999997E-2</v>
      </c>
      <c r="E1867">
        <v>1.4360398878932301E-69</v>
      </c>
      <c r="F1867">
        <v>3</v>
      </c>
      <c r="G1867" t="s">
        <v>4334</v>
      </c>
      <c r="H1867" t="s">
        <v>4335</v>
      </c>
      <c r="I1867" t="s">
        <v>4334</v>
      </c>
      <c r="J1867" s="1" t="str">
        <f>HYPERLINK("https://zfin.org/ZDB-GENE-030404-1")</f>
        <v>https://zfin.org/ZDB-GENE-030404-1</v>
      </c>
      <c r="K1867" t="s">
        <v>4336</v>
      </c>
    </row>
    <row r="1868" spans="1:11" x14ac:dyDescent="0.2">
      <c r="A1868">
        <v>8.6410291442151703E-72</v>
      </c>
      <c r="B1868">
        <v>0.70039028666671399</v>
      </c>
      <c r="C1868">
        <v>0.36199999999999999</v>
      </c>
      <c r="D1868">
        <v>1.2999999999999999E-2</v>
      </c>
      <c r="E1868">
        <v>1.3378905423988301E-67</v>
      </c>
      <c r="F1868">
        <v>3</v>
      </c>
      <c r="G1868" t="s">
        <v>4337</v>
      </c>
      <c r="H1868" t="s">
        <v>4338</v>
      </c>
      <c r="I1868" t="s">
        <v>4337</v>
      </c>
      <c r="J1868" s="1" t="str">
        <f>HYPERLINK("https://zfin.org/ZDB-GENE-030131-235")</f>
        <v>https://zfin.org/ZDB-GENE-030131-235</v>
      </c>
      <c r="K1868" t="s">
        <v>4339</v>
      </c>
    </row>
    <row r="1869" spans="1:11" x14ac:dyDescent="0.2">
      <c r="A1869">
        <v>6.02325798294241E-71</v>
      </c>
      <c r="B1869">
        <v>0.69323713108803398</v>
      </c>
      <c r="C1869">
        <v>0.36199999999999999</v>
      </c>
      <c r="D1869">
        <v>1.2999999999999999E-2</v>
      </c>
      <c r="E1869">
        <v>9.3258103349897396E-67</v>
      </c>
      <c r="F1869">
        <v>3</v>
      </c>
      <c r="G1869" t="s">
        <v>4340</v>
      </c>
      <c r="H1869" t="s">
        <v>4341</v>
      </c>
      <c r="I1869" t="s">
        <v>4340</v>
      </c>
      <c r="J1869" s="1" t="str">
        <f>HYPERLINK("https://zfin.org/ZDB-GENE-040426-1372")</f>
        <v>https://zfin.org/ZDB-GENE-040426-1372</v>
      </c>
      <c r="K1869" t="s">
        <v>4342</v>
      </c>
    </row>
    <row r="1870" spans="1:11" x14ac:dyDescent="0.2">
      <c r="A1870">
        <v>3.1602163597773499E-68</v>
      </c>
      <c r="B1870">
        <v>1.24446003610751</v>
      </c>
      <c r="C1870">
        <v>0.64900000000000002</v>
      </c>
      <c r="D1870">
        <v>7.5999999999999998E-2</v>
      </c>
      <c r="E1870">
        <v>4.8929629898432697E-64</v>
      </c>
      <c r="F1870">
        <v>3</v>
      </c>
      <c r="G1870" t="s">
        <v>4343</v>
      </c>
      <c r="H1870" t="s">
        <v>4344</v>
      </c>
      <c r="I1870" t="s">
        <v>4343</v>
      </c>
      <c r="J1870" s="1" t="str">
        <f>HYPERLINK("https://zfin.org/ZDB-GENE-030131-5366")</f>
        <v>https://zfin.org/ZDB-GENE-030131-5366</v>
      </c>
      <c r="K1870" t="s">
        <v>4345</v>
      </c>
    </row>
    <row r="1871" spans="1:11" x14ac:dyDescent="0.2">
      <c r="A1871">
        <v>1.65152414051961E-67</v>
      </c>
      <c r="B1871">
        <v>1.6081160688113101</v>
      </c>
      <c r="C1871">
        <v>0.61699999999999999</v>
      </c>
      <c r="D1871">
        <v>7.0999999999999994E-2</v>
      </c>
      <c r="E1871">
        <v>2.5570548267665201E-63</v>
      </c>
      <c r="F1871">
        <v>3</v>
      </c>
      <c r="G1871" t="s">
        <v>4346</v>
      </c>
      <c r="H1871" t="s">
        <v>4347</v>
      </c>
      <c r="I1871" t="s">
        <v>4346</v>
      </c>
      <c r="J1871" s="1" t="str">
        <f>HYPERLINK("https://zfin.org/")</f>
        <v>https://zfin.org/</v>
      </c>
      <c r="K1871" t="s">
        <v>4348</v>
      </c>
    </row>
    <row r="1872" spans="1:11" x14ac:dyDescent="0.2">
      <c r="A1872">
        <v>1.99482645241878E-66</v>
      </c>
      <c r="B1872">
        <v>1.3570712131123199</v>
      </c>
      <c r="C1872">
        <v>0.69099999999999995</v>
      </c>
      <c r="D1872">
        <v>9.2999999999999999E-2</v>
      </c>
      <c r="E1872">
        <v>3.08858979627999E-62</v>
      </c>
      <c r="F1872">
        <v>3</v>
      </c>
      <c r="G1872" t="s">
        <v>4349</v>
      </c>
      <c r="H1872" t="s">
        <v>4350</v>
      </c>
      <c r="I1872" t="s">
        <v>4349</v>
      </c>
      <c r="J1872" s="1" t="str">
        <f>HYPERLINK("https://zfin.org/ZDB-GENE-141212-376")</f>
        <v>https://zfin.org/ZDB-GENE-141212-376</v>
      </c>
      <c r="K1872" t="s">
        <v>4351</v>
      </c>
    </row>
    <row r="1873" spans="1:11" x14ac:dyDescent="0.2">
      <c r="A1873">
        <v>1.47522063854172E-65</v>
      </c>
      <c r="B1873">
        <v>0.95544882922514796</v>
      </c>
      <c r="C1873">
        <v>0.44700000000000001</v>
      </c>
      <c r="D1873">
        <v>3.1E-2</v>
      </c>
      <c r="E1873">
        <v>2.2840841146541499E-61</v>
      </c>
      <c r="F1873">
        <v>3</v>
      </c>
      <c r="G1873" t="s">
        <v>4352</v>
      </c>
      <c r="H1873" t="s">
        <v>4353</v>
      </c>
      <c r="I1873" t="s">
        <v>4352</v>
      </c>
      <c r="J1873" s="1" t="str">
        <f>HYPERLINK("https://zfin.org/ZDB-GENE-050506-32")</f>
        <v>https://zfin.org/ZDB-GENE-050506-32</v>
      </c>
      <c r="K1873" t="s">
        <v>4354</v>
      </c>
    </row>
    <row r="1874" spans="1:11" x14ac:dyDescent="0.2">
      <c r="A1874">
        <v>3.2273117611344098E-65</v>
      </c>
      <c r="B1874">
        <v>1.3121238404298201</v>
      </c>
      <c r="C1874">
        <v>0.55300000000000005</v>
      </c>
      <c r="D1874">
        <v>5.6000000000000001E-2</v>
      </c>
      <c r="E1874">
        <v>4.9968467997644099E-61</v>
      </c>
      <c r="F1874">
        <v>3</v>
      </c>
      <c r="G1874" t="s">
        <v>4355</v>
      </c>
      <c r="H1874" t="s">
        <v>4356</v>
      </c>
      <c r="I1874" t="s">
        <v>4355</v>
      </c>
      <c r="J1874" s="1" t="str">
        <f>HYPERLINK("https://zfin.org/ZDB-GENE-990415-247")</f>
        <v>https://zfin.org/ZDB-GENE-990415-247</v>
      </c>
      <c r="K1874" t="s">
        <v>4357</v>
      </c>
    </row>
    <row r="1875" spans="1:11" x14ac:dyDescent="0.2">
      <c r="A1875">
        <v>4.1175390428666401E-62</v>
      </c>
      <c r="B1875">
        <v>1.24930431115112</v>
      </c>
      <c r="C1875">
        <v>0.55300000000000005</v>
      </c>
      <c r="D1875">
        <v>5.8000000000000003E-2</v>
      </c>
      <c r="E1875">
        <v>6.3751857000704096E-58</v>
      </c>
      <c r="F1875">
        <v>3</v>
      </c>
      <c r="G1875" t="s">
        <v>4358</v>
      </c>
      <c r="H1875" t="s">
        <v>4359</v>
      </c>
      <c r="I1875" t="s">
        <v>4358</v>
      </c>
      <c r="J1875" s="1" t="str">
        <f>HYPERLINK("https://zfin.org/ZDB-GENE-040426-987")</f>
        <v>https://zfin.org/ZDB-GENE-040426-987</v>
      </c>
      <c r="K1875" t="s">
        <v>4360</v>
      </c>
    </row>
    <row r="1876" spans="1:11" x14ac:dyDescent="0.2">
      <c r="A1876">
        <v>2.2393217530757401E-61</v>
      </c>
      <c r="B1876">
        <v>0.84401559794001202</v>
      </c>
      <c r="C1876">
        <v>0.42599999999999999</v>
      </c>
      <c r="D1876">
        <v>2.9000000000000001E-2</v>
      </c>
      <c r="E1876">
        <v>3.46714187028717E-57</v>
      </c>
      <c r="F1876">
        <v>3</v>
      </c>
      <c r="G1876" t="s">
        <v>4361</v>
      </c>
      <c r="H1876" t="s">
        <v>4362</v>
      </c>
      <c r="I1876" t="s">
        <v>4361</v>
      </c>
      <c r="J1876" s="1" t="str">
        <f>HYPERLINK("https://zfin.org/ZDB-GENE-030131-105")</f>
        <v>https://zfin.org/ZDB-GENE-030131-105</v>
      </c>
      <c r="K1876" t="s">
        <v>4363</v>
      </c>
    </row>
    <row r="1877" spans="1:11" x14ac:dyDescent="0.2">
      <c r="A1877">
        <v>4.3726744295665997E-61</v>
      </c>
      <c r="B1877">
        <v>0.55083786325341999</v>
      </c>
      <c r="C1877">
        <v>0.26600000000000001</v>
      </c>
      <c r="D1877">
        <v>6.0000000000000001E-3</v>
      </c>
      <c r="E1877">
        <v>6.77021181929796E-57</v>
      </c>
      <c r="F1877">
        <v>3</v>
      </c>
      <c r="G1877" t="s">
        <v>4364</v>
      </c>
      <c r="H1877" t="s">
        <v>4365</v>
      </c>
      <c r="I1877" t="s">
        <v>4364</v>
      </c>
      <c r="J1877" s="1" t="str">
        <f>HYPERLINK("https://zfin.org/ZDB-GENE-030131-2126")</f>
        <v>https://zfin.org/ZDB-GENE-030131-2126</v>
      </c>
      <c r="K1877" t="s">
        <v>4366</v>
      </c>
    </row>
    <row r="1878" spans="1:11" x14ac:dyDescent="0.2">
      <c r="A1878">
        <v>7.7022654373542302E-61</v>
      </c>
      <c r="B1878">
        <v>1.79062599803047</v>
      </c>
      <c r="C1878">
        <v>0.47899999999999998</v>
      </c>
      <c r="D1878">
        <v>4.1000000000000002E-2</v>
      </c>
      <c r="E1878">
        <v>1.19254175766555E-56</v>
      </c>
      <c r="F1878">
        <v>3</v>
      </c>
      <c r="G1878" t="s">
        <v>4367</v>
      </c>
      <c r="H1878" t="s">
        <v>4368</v>
      </c>
      <c r="I1878" t="s">
        <v>4310</v>
      </c>
      <c r="J1878" s="1" t="str">
        <f>HYPERLINK("https://zfin.org/ZDB-GENE-990415-25")</f>
        <v>https://zfin.org/ZDB-GENE-990415-25</v>
      </c>
      <c r="K1878" t="s">
        <v>4312</v>
      </c>
    </row>
    <row r="1879" spans="1:11" x14ac:dyDescent="0.2">
      <c r="A1879">
        <v>2.7103477097715999E-60</v>
      </c>
      <c r="B1879">
        <v>0.84645007403515105</v>
      </c>
      <c r="C1879">
        <v>0.38300000000000001</v>
      </c>
      <c r="D1879">
        <v>2.1999999999999999E-2</v>
      </c>
      <c r="E1879">
        <v>4.1964313590393698E-56</v>
      </c>
      <c r="F1879">
        <v>3</v>
      </c>
      <c r="G1879" t="s">
        <v>4369</v>
      </c>
      <c r="H1879" t="s">
        <v>4370</v>
      </c>
      <c r="I1879" t="s">
        <v>4369</v>
      </c>
      <c r="J1879" s="1" t="str">
        <f>HYPERLINK("https://zfin.org/")</f>
        <v>https://zfin.org/</v>
      </c>
      <c r="K1879" t="s">
        <v>4371</v>
      </c>
    </row>
    <row r="1880" spans="1:11" x14ac:dyDescent="0.2">
      <c r="A1880">
        <v>6.0682481252132702E-60</v>
      </c>
      <c r="B1880">
        <v>0.87133058168270205</v>
      </c>
      <c r="C1880">
        <v>0.36199999999999999</v>
      </c>
      <c r="D1880">
        <v>0.02</v>
      </c>
      <c r="E1880">
        <v>9.3954685722677105E-56</v>
      </c>
      <c r="F1880">
        <v>3</v>
      </c>
      <c r="G1880" t="s">
        <v>4372</v>
      </c>
      <c r="H1880" t="s">
        <v>4373</v>
      </c>
      <c r="I1880" t="s">
        <v>4372</v>
      </c>
      <c r="J1880" s="1" t="str">
        <f>HYPERLINK("https://zfin.org/ZDB-GENE-000208-21")</f>
        <v>https://zfin.org/ZDB-GENE-000208-21</v>
      </c>
      <c r="K1880" t="s">
        <v>4374</v>
      </c>
    </row>
    <row r="1881" spans="1:11" x14ac:dyDescent="0.2">
      <c r="A1881">
        <v>8.0348327973471695E-60</v>
      </c>
      <c r="B1881">
        <v>0.92899241055026605</v>
      </c>
      <c r="C1881">
        <v>0.33</v>
      </c>
      <c r="D1881">
        <v>1.4999999999999999E-2</v>
      </c>
      <c r="E1881">
        <v>1.2440331620132601E-55</v>
      </c>
      <c r="F1881">
        <v>3</v>
      </c>
      <c r="G1881" t="s">
        <v>4375</v>
      </c>
      <c r="H1881" t="s">
        <v>4376</v>
      </c>
      <c r="I1881" t="s">
        <v>4375</v>
      </c>
      <c r="J1881" s="1" t="str">
        <f>HYPERLINK("https://zfin.org/ZDB-GENE-030131-9652")</f>
        <v>https://zfin.org/ZDB-GENE-030131-9652</v>
      </c>
      <c r="K1881" t="s">
        <v>4377</v>
      </c>
    </row>
    <row r="1882" spans="1:11" x14ac:dyDescent="0.2">
      <c r="A1882">
        <v>9.6392755937803099E-60</v>
      </c>
      <c r="B1882">
        <v>0.63591656170483801</v>
      </c>
      <c r="C1882">
        <v>0.29799999999999999</v>
      </c>
      <c r="D1882">
        <v>1.0999999999999999E-2</v>
      </c>
      <c r="E1882">
        <v>1.49244904018501E-55</v>
      </c>
      <c r="F1882">
        <v>3</v>
      </c>
      <c r="G1882" t="s">
        <v>4378</v>
      </c>
      <c r="H1882" t="s">
        <v>4379</v>
      </c>
      <c r="I1882" t="s">
        <v>4378</v>
      </c>
      <c r="J1882" s="1" t="str">
        <f>HYPERLINK("https://zfin.org/ZDB-GENE-070112-652")</f>
        <v>https://zfin.org/ZDB-GENE-070112-652</v>
      </c>
      <c r="K1882" t="s">
        <v>4380</v>
      </c>
    </row>
    <row r="1883" spans="1:11" x14ac:dyDescent="0.2">
      <c r="A1883">
        <v>2.44500790007479E-59</v>
      </c>
      <c r="B1883">
        <v>0.93415983285390403</v>
      </c>
      <c r="C1883">
        <v>0.42599999999999999</v>
      </c>
      <c r="D1883">
        <v>3.1E-2</v>
      </c>
      <c r="E1883">
        <v>3.7856057316858001E-55</v>
      </c>
      <c r="F1883">
        <v>3</v>
      </c>
      <c r="G1883" t="s">
        <v>4381</v>
      </c>
      <c r="H1883" t="s">
        <v>4382</v>
      </c>
      <c r="I1883" t="s">
        <v>4381</v>
      </c>
      <c r="J1883" s="1" t="str">
        <f>HYPERLINK("https://zfin.org/ZDB-GENE-040426-59")</f>
        <v>https://zfin.org/ZDB-GENE-040426-59</v>
      </c>
      <c r="K1883" t="s">
        <v>4383</v>
      </c>
    </row>
    <row r="1884" spans="1:11" x14ac:dyDescent="0.2">
      <c r="A1884">
        <v>1.19297368837332E-58</v>
      </c>
      <c r="B1884">
        <v>0.61182035333978402</v>
      </c>
      <c r="C1884">
        <v>0.31900000000000001</v>
      </c>
      <c r="D1884">
        <v>1.4E-2</v>
      </c>
      <c r="E1884">
        <v>1.84708116170842E-54</v>
      </c>
      <c r="F1884">
        <v>3</v>
      </c>
      <c r="G1884" t="s">
        <v>4384</v>
      </c>
      <c r="H1884" t="s">
        <v>4385</v>
      </c>
      <c r="I1884" t="s">
        <v>4384</v>
      </c>
      <c r="J1884" s="1" t="str">
        <f>HYPERLINK("https://zfin.org/ZDB-GENE-990603-6")</f>
        <v>https://zfin.org/ZDB-GENE-990603-6</v>
      </c>
      <c r="K1884" t="s">
        <v>4386</v>
      </c>
    </row>
    <row r="1885" spans="1:11" x14ac:dyDescent="0.2">
      <c r="A1885">
        <v>1.75326395741332E-58</v>
      </c>
      <c r="B1885">
        <v>0.76361624098521597</v>
      </c>
      <c r="C1885">
        <v>0.34</v>
      </c>
      <c r="D1885">
        <v>1.7000000000000001E-2</v>
      </c>
      <c r="E1885">
        <v>2.71457858526305E-54</v>
      </c>
      <c r="F1885">
        <v>3</v>
      </c>
      <c r="G1885" t="s">
        <v>4387</v>
      </c>
      <c r="H1885" t="s">
        <v>4388</v>
      </c>
      <c r="I1885" t="s">
        <v>4387</v>
      </c>
      <c r="J1885" s="1" t="str">
        <f>HYPERLINK("https://zfin.org/ZDB-GENE-041024-3")</f>
        <v>https://zfin.org/ZDB-GENE-041024-3</v>
      </c>
      <c r="K1885" t="s">
        <v>4389</v>
      </c>
    </row>
    <row r="1886" spans="1:11" x14ac:dyDescent="0.2">
      <c r="A1886">
        <v>3.5293415012136698E-57</v>
      </c>
      <c r="B1886">
        <v>0.97047058919495699</v>
      </c>
      <c r="C1886">
        <v>0.309</v>
      </c>
      <c r="D1886">
        <v>1.2999999999999999E-2</v>
      </c>
      <c r="E1886">
        <v>5.4644794463291197E-53</v>
      </c>
      <c r="F1886">
        <v>3</v>
      </c>
      <c r="G1886" t="s">
        <v>4390</v>
      </c>
      <c r="H1886" t="s">
        <v>4391</v>
      </c>
      <c r="I1886" t="s">
        <v>4390</v>
      </c>
      <c r="J1886" s="1" t="str">
        <f>HYPERLINK("https://zfin.org/ZDB-GENE-020426-1")</f>
        <v>https://zfin.org/ZDB-GENE-020426-1</v>
      </c>
      <c r="K1886" t="s">
        <v>4392</v>
      </c>
    </row>
    <row r="1887" spans="1:11" x14ac:dyDescent="0.2">
      <c r="A1887">
        <v>6.5275837329289E-57</v>
      </c>
      <c r="B1887">
        <v>0.51784532455437904</v>
      </c>
      <c r="C1887">
        <v>0.245</v>
      </c>
      <c r="D1887">
        <v>6.0000000000000001E-3</v>
      </c>
      <c r="E1887">
        <v>1.0106657893693799E-52</v>
      </c>
      <c r="F1887">
        <v>3</v>
      </c>
      <c r="G1887" t="s">
        <v>4393</v>
      </c>
      <c r="H1887" t="s">
        <v>4394</v>
      </c>
      <c r="I1887" t="s">
        <v>4393</v>
      </c>
      <c r="J1887" s="1" t="str">
        <f>HYPERLINK("https://zfin.org/ZDB-GENE-040718-334")</f>
        <v>https://zfin.org/ZDB-GENE-040718-334</v>
      </c>
      <c r="K1887" t="s">
        <v>4395</v>
      </c>
    </row>
    <row r="1888" spans="1:11" x14ac:dyDescent="0.2">
      <c r="A1888">
        <v>9.0979819574671797E-57</v>
      </c>
      <c r="B1888">
        <v>1.16864860032895</v>
      </c>
      <c r="C1888">
        <v>0.38300000000000001</v>
      </c>
      <c r="D1888">
        <v>2.5000000000000001E-2</v>
      </c>
      <c r="E1888">
        <v>1.4086405464746399E-52</v>
      </c>
      <c r="F1888">
        <v>3</v>
      </c>
      <c r="G1888" t="s">
        <v>4396</v>
      </c>
      <c r="H1888" t="s">
        <v>4397</v>
      </c>
      <c r="I1888" t="s">
        <v>4396</v>
      </c>
      <c r="J1888" s="1" t="str">
        <f>HYPERLINK("https://zfin.org/ZDB-GENE-131121-114")</f>
        <v>https://zfin.org/ZDB-GENE-131121-114</v>
      </c>
      <c r="K1888" t="s">
        <v>4398</v>
      </c>
    </row>
    <row r="1889" spans="1:11" x14ac:dyDescent="0.2">
      <c r="A1889">
        <v>1.5724752153559699E-56</v>
      </c>
      <c r="B1889">
        <v>0.62319438921630499</v>
      </c>
      <c r="C1889">
        <v>0.309</v>
      </c>
      <c r="D1889">
        <v>1.2999999999999999E-2</v>
      </c>
      <c r="E1889">
        <v>2.4346633759356499E-52</v>
      </c>
      <c r="F1889">
        <v>3</v>
      </c>
      <c r="G1889" t="s">
        <v>4399</v>
      </c>
      <c r="H1889" t="s">
        <v>4400</v>
      </c>
      <c r="I1889" t="s">
        <v>4399</v>
      </c>
      <c r="J1889" s="1" t="str">
        <f>HYPERLINK("https://zfin.org/ZDB-GENE-081022-187")</f>
        <v>https://zfin.org/ZDB-GENE-081022-187</v>
      </c>
      <c r="K1889" t="s">
        <v>4401</v>
      </c>
    </row>
    <row r="1890" spans="1:11" x14ac:dyDescent="0.2">
      <c r="A1890">
        <v>1.1277368872787501E-55</v>
      </c>
      <c r="B1890">
        <v>0.85935754541536202</v>
      </c>
      <c r="C1890">
        <v>0.42599999999999999</v>
      </c>
      <c r="D1890">
        <v>3.4000000000000002E-2</v>
      </c>
      <c r="E1890">
        <v>1.7460750225736899E-51</v>
      </c>
      <c r="F1890">
        <v>3</v>
      </c>
      <c r="G1890" t="s">
        <v>4402</v>
      </c>
      <c r="H1890" t="s">
        <v>4403</v>
      </c>
      <c r="I1890" t="s">
        <v>4402</v>
      </c>
      <c r="J1890" s="1" t="str">
        <f>HYPERLINK("https://zfin.org/ZDB-GENE-031112-11")</f>
        <v>https://zfin.org/ZDB-GENE-031112-11</v>
      </c>
      <c r="K1890" t="s">
        <v>4404</v>
      </c>
    </row>
    <row r="1891" spans="1:11" x14ac:dyDescent="0.2">
      <c r="A1891">
        <v>1.6931153520987599E-55</v>
      </c>
      <c r="B1891">
        <v>1.61960952022399</v>
      </c>
      <c r="C1891">
        <v>0.436</v>
      </c>
      <c r="D1891">
        <v>3.9E-2</v>
      </c>
      <c r="E1891">
        <v>2.6214504996545001E-51</v>
      </c>
      <c r="F1891">
        <v>3</v>
      </c>
      <c r="G1891" t="s">
        <v>4405</v>
      </c>
      <c r="H1891" t="s">
        <v>4406</v>
      </c>
      <c r="I1891" t="s">
        <v>4405</v>
      </c>
      <c r="J1891" s="1" t="str">
        <f>HYPERLINK("https://zfin.org/ZDB-GENE-051030-48")</f>
        <v>https://zfin.org/ZDB-GENE-051030-48</v>
      </c>
      <c r="K1891" t="s">
        <v>4407</v>
      </c>
    </row>
    <row r="1892" spans="1:11" x14ac:dyDescent="0.2">
      <c r="A1892">
        <v>6.9283040811427096E-55</v>
      </c>
      <c r="B1892">
        <v>1.00269383817125</v>
      </c>
      <c r="C1892">
        <v>0.54300000000000004</v>
      </c>
      <c r="D1892">
        <v>6.3E-2</v>
      </c>
      <c r="E1892">
        <v>1.07270932088333E-50</v>
      </c>
      <c r="F1892">
        <v>3</v>
      </c>
      <c r="G1892" t="s">
        <v>4408</v>
      </c>
      <c r="H1892" t="s">
        <v>4409</v>
      </c>
      <c r="I1892" t="s">
        <v>4408</v>
      </c>
      <c r="J1892" s="1" t="str">
        <f>HYPERLINK("https://zfin.org/ZDB-GENE-030131-5511")</f>
        <v>https://zfin.org/ZDB-GENE-030131-5511</v>
      </c>
      <c r="K1892" t="s">
        <v>4410</v>
      </c>
    </row>
    <row r="1893" spans="1:11" x14ac:dyDescent="0.2">
      <c r="A1893">
        <v>1.2606465803944E-54</v>
      </c>
      <c r="B1893">
        <v>0.87567014148225797</v>
      </c>
      <c r="C1893">
        <v>0.44700000000000001</v>
      </c>
      <c r="D1893">
        <v>4.1000000000000002E-2</v>
      </c>
      <c r="E1893">
        <v>1.9518591004246501E-50</v>
      </c>
      <c r="F1893">
        <v>3</v>
      </c>
      <c r="G1893" t="s">
        <v>4411</v>
      </c>
      <c r="H1893" t="s">
        <v>4412</v>
      </c>
      <c r="I1893" t="s">
        <v>4411</v>
      </c>
      <c r="J1893" s="1" t="str">
        <f>HYPERLINK("https://zfin.org/ZDB-GENE-010406-5")</f>
        <v>https://zfin.org/ZDB-GENE-010406-5</v>
      </c>
      <c r="K1893" t="s">
        <v>4413</v>
      </c>
    </row>
    <row r="1894" spans="1:11" x14ac:dyDescent="0.2">
      <c r="A1894">
        <v>2.3665901056664799E-54</v>
      </c>
      <c r="B1894">
        <v>0.65058340782059199</v>
      </c>
      <c r="C1894">
        <v>0.309</v>
      </c>
      <c r="D1894">
        <v>1.4999999999999999E-2</v>
      </c>
      <c r="E1894">
        <v>3.6641914606034102E-50</v>
      </c>
      <c r="F1894">
        <v>3</v>
      </c>
      <c r="G1894" t="s">
        <v>4414</v>
      </c>
      <c r="H1894" t="s">
        <v>4415</v>
      </c>
      <c r="I1894" t="s">
        <v>4414</v>
      </c>
      <c r="J1894" s="1" t="str">
        <f>HYPERLINK("https://zfin.org/ZDB-GENE-030523-2")</f>
        <v>https://zfin.org/ZDB-GENE-030523-2</v>
      </c>
      <c r="K1894" t="s">
        <v>4416</v>
      </c>
    </row>
    <row r="1895" spans="1:11" x14ac:dyDescent="0.2">
      <c r="A1895">
        <v>1.6922227987647899E-53</v>
      </c>
      <c r="B1895">
        <v>1.1507282389375699</v>
      </c>
      <c r="C1895">
        <v>0.54300000000000004</v>
      </c>
      <c r="D1895">
        <v>6.9000000000000006E-2</v>
      </c>
      <c r="E1895">
        <v>2.6200685593275301E-49</v>
      </c>
      <c r="F1895">
        <v>3</v>
      </c>
      <c r="G1895" t="s">
        <v>3676</v>
      </c>
      <c r="H1895" t="s">
        <v>3677</v>
      </c>
      <c r="I1895" t="s">
        <v>3676</v>
      </c>
      <c r="J1895" s="1" t="str">
        <f>HYPERLINK("https://zfin.org/ZDB-GENE-030804-11")</f>
        <v>https://zfin.org/ZDB-GENE-030804-11</v>
      </c>
      <c r="K1895" t="s">
        <v>3678</v>
      </c>
    </row>
    <row r="1896" spans="1:11" x14ac:dyDescent="0.2">
      <c r="A1896">
        <v>1.87544629381628E-53</v>
      </c>
      <c r="B1896">
        <v>0.85529002081542405</v>
      </c>
      <c r="C1896">
        <v>0.38300000000000001</v>
      </c>
      <c r="D1896">
        <v>2.7E-2</v>
      </c>
      <c r="E1896">
        <v>2.9037534967157402E-49</v>
      </c>
      <c r="F1896">
        <v>3</v>
      </c>
      <c r="G1896" t="s">
        <v>4417</v>
      </c>
      <c r="H1896" t="s">
        <v>4418</v>
      </c>
      <c r="I1896" t="s">
        <v>4417</v>
      </c>
      <c r="J1896" s="1" t="str">
        <f>HYPERLINK("https://zfin.org/ZDB-GENE-060429-1")</f>
        <v>https://zfin.org/ZDB-GENE-060429-1</v>
      </c>
      <c r="K1896" t="s">
        <v>4419</v>
      </c>
    </row>
    <row r="1897" spans="1:11" x14ac:dyDescent="0.2">
      <c r="A1897">
        <v>2.2094369246031902E-53</v>
      </c>
      <c r="B1897">
        <v>0.860519008925551</v>
      </c>
      <c r="C1897">
        <v>0.34</v>
      </c>
      <c r="D1897">
        <v>0.02</v>
      </c>
      <c r="E1897">
        <v>3.4208711903631201E-49</v>
      </c>
      <c r="F1897">
        <v>3</v>
      </c>
      <c r="G1897" t="s">
        <v>4420</v>
      </c>
      <c r="H1897" t="s">
        <v>4421</v>
      </c>
      <c r="I1897" t="s">
        <v>4420</v>
      </c>
      <c r="J1897" s="1" t="str">
        <f>HYPERLINK("https://zfin.org/ZDB-GENE-040912-160")</f>
        <v>https://zfin.org/ZDB-GENE-040912-160</v>
      </c>
      <c r="K1897" t="s">
        <v>4422</v>
      </c>
    </row>
    <row r="1898" spans="1:11" x14ac:dyDescent="0.2">
      <c r="A1898">
        <v>1.3497096294267899E-52</v>
      </c>
      <c r="B1898">
        <v>0.589655761107581</v>
      </c>
      <c r="C1898">
        <v>0.255</v>
      </c>
      <c r="D1898">
        <v>8.0000000000000002E-3</v>
      </c>
      <c r="E1898">
        <v>2.0897554192414901E-48</v>
      </c>
      <c r="F1898">
        <v>3</v>
      </c>
      <c r="G1898" t="s">
        <v>4423</v>
      </c>
      <c r="H1898" t="s">
        <v>4424</v>
      </c>
      <c r="I1898" t="s">
        <v>4423</v>
      </c>
      <c r="J1898" s="1" t="str">
        <f>HYPERLINK("https://zfin.org/ZDB-GENE-040718-435")</f>
        <v>https://zfin.org/ZDB-GENE-040718-435</v>
      </c>
      <c r="K1898" t="s">
        <v>4425</v>
      </c>
    </row>
    <row r="1899" spans="1:11" x14ac:dyDescent="0.2">
      <c r="A1899">
        <v>2.2249862257781898E-52</v>
      </c>
      <c r="B1899">
        <v>0.75259869663481005</v>
      </c>
      <c r="C1899">
        <v>0.36199999999999999</v>
      </c>
      <c r="D1899">
        <v>2.5000000000000001E-2</v>
      </c>
      <c r="E1899">
        <v>3.4449461733723801E-48</v>
      </c>
      <c r="F1899">
        <v>3</v>
      </c>
      <c r="G1899" t="s">
        <v>4426</v>
      </c>
      <c r="H1899" t="s">
        <v>4427</v>
      </c>
      <c r="I1899" t="s">
        <v>4426</v>
      </c>
      <c r="J1899" s="1" t="str">
        <f>HYPERLINK("https://zfin.org/ZDB-GENE-060810-13")</f>
        <v>https://zfin.org/ZDB-GENE-060810-13</v>
      </c>
      <c r="K1899" t="s">
        <v>4428</v>
      </c>
    </row>
    <row r="1900" spans="1:11" x14ac:dyDescent="0.2">
      <c r="A1900">
        <v>4.1820903968396003E-52</v>
      </c>
      <c r="B1900">
        <v>1.08687074162319</v>
      </c>
      <c r="C1900">
        <v>0.47899999999999998</v>
      </c>
      <c r="D1900">
        <v>5.1999999999999998E-2</v>
      </c>
      <c r="E1900">
        <v>6.4751305614267496E-48</v>
      </c>
      <c r="F1900">
        <v>3</v>
      </c>
      <c r="G1900" t="s">
        <v>4429</v>
      </c>
      <c r="H1900" t="s">
        <v>4430</v>
      </c>
      <c r="I1900" t="s">
        <v>4429</v>
      </c>
      <c r="J1900" s="1" t="str">
        <f>HYPERLINK("https://zfin.org/ZDB-GENE-010131-3")</f>
        <v>https://zfin.org/ZDB-GENE-010131-3</v>
      </c>
      <c r="K1900" t="s">
        <v>4431</v>
      </c>
    </row>
    <row r="1901" spans="1:11" x14ac:dyDescent="0.2">
      <c r="A1901">
        <v>4.3115652412403104E-50</v>
      </c>
      <c r="B1901">
        <v>0.73895322479575298</v>
      </c>
      <c r="C1901">
        <v>0.39400000000000002</v>
      </c>
      <c r="D1901">
        <v>3.2000000000000001E-2</v>
      </c>
      <c r="E1901">
        <v>6.6755964630123796E-46</v>
      </c>
      <c r="F1901">
        <v>3</v>
      </c>
      <c r="G1901" t="s">
        <v>4432</v>
      </c>
      <c r="H1901" t="s">
        <v>4433</v>
      </c>
      <c r="I1901" t="s">
        <v>4432</v>
      </c>
      <c r="J1901" s="1" t="str">
        <f>HYPERLINK("https://zfin.org/ZDB-GENE-040426-2286")</f>
        <v>https://zfin.org/ZDB-GENE-040426-2286</v>
      </c>
      <c r="K1901" t="s">
        <v>4434</v>
      </c>
    </row>
    <row r="1902" spans="1:11" x14ac:dyDescent="0.2">
      <c r="A1902">
        <v>1.9881499576503599E-49</v>
      </c>
      <c r="B1902">
        <v>0.57281661966895003</v>
      </c>
      <c r="C1902">
        <v>0.27700000000000002</v>
      </c>
      <c r="D1902">
        <v>1.2999999999999999E-2</v>
      </c>
      <c r="E1902">
        <v>3.0782525794300502E-45</v>
      </c>
      <c r="F1902">
        <v>3</v>
      </c>
      <c r="G1902" t="s">
        <v>4435</v>
      </c>
      <c r="H1902" t="s">
        <v>4436</v>
      </c>
      <c r="I1902" t="s">
        <v>4435</v>
      </c>
      <c r="J1902" s="1" t="str">
        <f>HYPERLINK("https://zfin.org/ZDB-GENE-081107-5")</f>
        <v>https://zfin.org/ZDB-GENE-081107-5</v>
      </c>
      <c r="K1902" t="s">
        <v>4437</v>
      </c>
    </row>
    <row r="1903" spans="1:11" x14ac:dyDescent="0.2">
      <c r="A1903">
        <v>2.1602354472461801E-49</v>
      </c>
      <c r="B1903">
        <v>0.53367321841531201</v>
      </c>
      <c r="C1903">
        <v>0.26600000000000001</v>
      </c>
      <c r="D1903">
        <v>1.0999999999999999E-2</v>
      </c>
      <c r="E1903">
        <v>3.3446925429712598E-45</v>
      </c>
      <c r="F1903">
        <v>3</v>
      </c>
      <c r="G1903" t="s">
        <v>4438</v>
      </c>
      <c r="H1903" t="s">
        <v>4439</v>
      </c>
      <c r="I1903" t="s">
        <v>4438</v>
      </c>
      <c r="J1903" s="1" t="str">
        <f>HYPERLINK("https://zfin.org/ZDB-GENE-030131-904")</f>
        <v>https://zfin.org/ZDB-GENE-030131-904</v>
      </c>
      <c r="K1903" t="s">
        <v>4440</v>
      </c>
    </row>
    <row r="1904" spans="1:11" x14ac:dyDescent="0.2">
      <c r="A1904">
        <v>3.6960476888934001E-48</v>
      </c>
      <c r="B1904">
        <v>0.63394685246869498</v>
      </c>
      <c r="C1904">
        <v>0.29799999999999999</v>
      </c>
      <c r="D1904">
        <v>1.7000000000000001E-2</v>
      </c>
      <c r="E1904">
        <v>5.7225906367136404E-44</v>
      </c>
      <c r="F1904">
        <v>3</v>
      </c>
      <c r="G1904" t="s">
        <v>4441</v>
      </c>
      <c r="H1904" t="s">
        <v>4442</v>
      </c>
      <c r="I1904" t="s">
        <v>4441</v>
      </c>
      <c r="J1904" s="1" t="str">
        <f>HYPERLINK("https://zfin.org/ZDB-GENE-041111-282")</f>
        <v>https://zfin.org/ZDB-GENE-041111-282</v>
      </c>
      <c r="K1904" t="s">
        <v>4443</v>
      </c>
    </row>
    <row r="1905" spans="1:11" x14ac:dyDescent="0.2">
      <c r="A1905">
        <v>5.6228289849930798E-48</v>
      </c>
      <c r="B1905">
        <v>1.02398880114137</v>
      </c>
      <c r="C1905">
        <v>0.309</v>
      </c>
      <c r="D1905">
        <v>1.9E-2</v>
      </c>
      <c r="E1905">
        <v>8.7058261174647904E-44</v>
      </c>
      <c r="F1905">
        <v>3</v>
      </c>
      <c r="G1905" t="s">
        <v>4444</v>
      </c>
      <c r="H1905" t="s">
        <v>4445</v>
      </c>
      <c r="I1905" t="s">
        <v>4444</v>
      </c>
      <c r="J1905" s="1" t="str">
        <f>HYPERLINK("https://zfin.org/ZDB-GENE-030827-5")</f>
        <v>https://zfin.org/ZDB-GENE-030827-5</v>
      </c>
      <c r="K1905" t="s">
        <v>4446</v>
      </c>
    </row>
    <row r="1906" spans="1:11" x14ac:dyDescent="0.2">
      <c r="A1906">
        <v>9.8369973182730597E-48</v>
      </c>
      <c r="B1906">
        <v>0.72720245305559605</v>
      </c>
      <c r="C1906">
        <v>0.33</v>
      </c>
      <c r="D1906">
        <v>2.1999999999999999E-2</v>
      </c>
      <c r="E1906">
        <v>1.52306229478822E-43</v>
      </c>
      <c r="F1906">
        <v>3</v>
      </c>
      <c r="G1906" t="s">
        <v>4447</v>
      </c>
      <c r="H1906" t="s">
        <v>4448</v>
      </c>
      <c r="I1906" t="s">
        <v>4447</v>
      </c>
      <c r="J1906" s="1" t="str">
        <f>HYPERLINK("https://zfin.org/ZDB-GENE-030131-7003")</f>
        <v>https://zfin.org/ZDB-GENE-030131-7003</v>
      </c>
      <c r="K1906" t="s">
        <v>4449</v>
      </c>
    </row>
    <row r="1907" spans="1:11" x14ac:dyDescent="0.2">
      <c r="A1907">
        <v>2.1950758208701301E-47</v>
      </c>
      <c r="B1907">
        <v>0.58950984884326696</v>
      </c>
      <c r="C1907">
        <v>0.28699999999999998</v>
      </c>
      <c r="D1907">
        <v>1.4999999999999999E-2</v>
      </c>
      <c r="E1907">
        <v>3.3986358934532201E-43</v>
      </c>
      <c r="F1907">
        <v>3</v>
      </c>
      <c r="G1907" t="s">
        <v>4450</v>
      </c>
      <c r="H1907" t="s">
        <v>4451</v>
      </c>
      <c r="I1907" t="s">
        <v>4450</v>
      </c>
      <c r="J1907" s="1" t="str">
        <f>HYPERLINK("https://zfin.org/ZDB-GENE-040718-122")</f>
        <v>https://zfin.org/ZDB-GENE-040718-122</v>
      </c>
      <c r="K1907" t="s">
        <v>4452</v>
      </c>
    </row>
    <row r="1908" spans="1:11" x14ac:dyDescent="0.2">
      <c r="A1908">
        <v>3.09413854485628E-47</v>
      </c>
      <c r="B1908">
        <v>0.80109987017729301</v>
      </c>
      <c r="C1908">
        <v>0.36199999999999999</v>
      </c>
      <c r="D1908">
        <v>2.9000000000000001E-2</v>
      </c>
      <c r="E1908">
        <v>4.7906547090009799E-43</v>
      </c>
      <c r="F1908">
        <v>3</v>
      </c>
      <c r="G1908" t="s">
        <v>4453</v>
      </c>
      <c r="H1908" t="s">
        <v>4454</v>
      </c>
      <c r="I1908" t="s">
        <v>4453</v>
      </c>
      <c r="J1908" s="1" t="str">
        <f>HYPERLINK("https://zfin.org/ZDB-GENE-050419-19")</f>
        <v>https://zfin.org/ZDB-GENE-050419-19</v>
      </c>
      <c r="K1908" t="s">
        <v>4455</v>
      </c>
    </row>
    <row r="1909" spans="1:11" x14ac:dyDescent="0.2">
      <c r="A1909">
        <v>6.4062868732449797E-47</v>
      </c>
      <c r="B1909">
        <v>0.59778915032848701</v>
      </c>
      <c r="C1909">
        <v>0.255</v>
      </c>
      <c r="D1909">
        <v>1.0999999999999999E-2</v>
      </c>
      <c r="E1909">
        <v>9.9188539658452007E-43</v>
      </c>
      <c r="F1909">
        <v>3</v>
      </c>
      <c r="G1909" t="s">
        <v>4456</v>
      </c>
      <c r="H1909" t="s">
        <v>4457</v>
      </c>
      <c r="I1909" t="s">
        <v>4456</v>
      </c>
      <c r="J1909" s="1" t="str">
        <f>HYPERLINK("https://zfin.org/ZDB-GENE-991019-4")</f>
        <v>https://zfin.org/ZDB-GENE-991019-4</v>
      </c>
      <c r="K1909" t="s">
        <v>4458</v>
      </c>
    </row>
    <row r="1910" spans="1:11" x14ac:dyDescent="0.2">
      <c r="A1910">
        <v>7.4294324036490499E-47</v>
      </c>
      <c r="B1910">
        <v>0.86260673377971098</v>
      </c>
      <c r="C1910">
        <v>0.29799999999999999</v>
      </c>
      <c r="D1910">
        <v>1.7999999999999999E-2</v>
      </c>
      <c r="E1910">
        <v>1.15029901905698E-42</v>
      </c>
      <c r="F1910">
        <v>3</v>
      </c>
      <c r="G1910" t="s">
        <v>4459</v>
      </c>
      <c r="H1910" t="s">
        <v>4460</v>
      </c>
      <c r="I1910" t="s">
        <v>4459</v>
      </c>
      <c r="J1910" s="1" t="str">
        <f>HYPERLINK("https://zfin.org/ZDB-GENE-050208-508")</f>
        <v>https://zfin.org/ZDB-GENE-050208-508</v>
      </c>
      <c r="K1910" t="s">
        <v>4461</v>
      </c>
    </row>
    <row r="1911" spans="1:11" x14ac:dyDescent="0.2">
      <c r="A1911">
        <v>3.5291697488435998E-46</v>
      </c>
      <c r="B1911">
        <v>1.79860958222659</v>
      </c>
      <c r="C1911">
        <v>0.436</v>
      </c>
      <c r="D1911">
        <v>4.8000000000000001E-2</v>
      </c>
      <c r="E1911">
        <v>5.4642135221345502E-42</v>
      </c>
      <c r="F1911">
        <v>3</v>
      </c>
      <c r="G1911" t="s">
        <v>4462</v>
      </c>
      <c r="H1911" t="s">
        <v>4463</v>
      </c>
      <c r="I1911" t="s">
        <v>4462</v>
      </c>
      <c r="J1911" s="1" t="str">
        <f>HYPERLINK("https://zfin.org/ZDB-GENE-040718-22")</f>
        <v>https://zfin.org/ZDB-GENE-040718-22</v>
      </c>
      <c r="K1911" t="s">
        <v>4464</v>
      </c>
    </row>
    <row r="1912" spans="1:11" x14ac:dyDescent="0.2">
      <c r="A1912">
        <v>8.0588934609215805E-46</v>
      </c>
      <c r="B1912">
        <v>0.638311397022717</v>
      </c>
      <c r="C1912">
        <v>0.34</v>
      </c>
      <c r="D1912">
        <v>2.5999999999999999E-2</v>
      </c>
      <c r="E1912">
        <v>1.2477584745544901E-41</v>
      </c>
      <c r="F1912">
        <v>3</v>
      </c>
      <c r="G1912" t="s">
        <v>4465</v>
      </c>
      <c r="H1912" t="s">
        <v>4466</v>
      </c>
      <c r="I1912" t="s">
        <v>4465</v>
      </c>
      <c r="J1912" s="1" t="str">
        <f>HYPERLINK("https://zfin.org/ZDB-GENE-050522-456")</f>
        <v>https://zfin.org/ZDB-GENE-050522-456</v>
      </c>
      <c r="K1912" t="s">
        <v>4467</v>
      </c>
    </row>
    <row r="1913" spans="1:11" x14ac:dyDescent="0.2">
      <c r="A1913">
        <v>1.27877391500378E-45</v>
      </c>
      <c r="B1913">
        <v>0.80590719415536904</v>
      </c>
      <c r="C1913">
        <v>0.35099999999999998</v>
      </c>
      <c r="D1913">
        <v>2.9000000000000001E-2</v>
      </c>
      <c r="E1913">
        <v>1.9799256526003501E-41</v>
      </c>
      <c r="F1913">
        <v>3</v>
      </c>
      <c r="G1913" t="s">
        <v>4468</v>
      </c>
      <c r="H1913" t="s">
        <v>4469</v>
      </c>
      <c r="I1913" t="s">
        <v>4468</v>
      </c>
      <c r="J1913" s="1" t="str">
        <f>HYPERLINK("https://zfin.org/ZDB-GENE-061013-547")</f>
        <v>https://zfin.org/ZDB-GENE-061013-547</v>
      </c>
      <c r="K1913" t="s">
        <v>4470</v>
      </c>
    </row>
    <row r="1914" spans="1:11" x14ac:dyDescent="0.2">
      <c r="A1914">
        <v>2.2189739954313701E-45</v>
      </c>
      <c r="B1914">
        <v>0.55506221305914905</v>
      </c>
      <c r="C1914">
        <v>0.223</v>
      </c>
      <c r="D1914">
        <v>8.0000000000000002E-3</v>
      </c>
      <c r="E1914">
        <v>3.4356374371263899E-41</v>
      </c>
      <c r="F1914">
        <v>3</v>
      </c>
      <c r="G1914" t="s">
        <v>4471</v>
      </c>
      <c r="H1914" t="s">
        <v>4472</v>
      </c>
      <c r="I1914" t="s">
        <v>4471</v>
      </c>
      <c r="J1914" s="1" t="str">
        <f>HYPERLINK("https://zfin.org/ZDB-GENE-030131-6690")</f>
        <v>https://zfin.org/ZDB-GENE-030131-6690</v>
      </c>
      <c r="K1914" t="s">
        <v>4473</v>
      </c>
    </row>
    <row r="1915" spans="1:11" x14ac:dyDescent="0.2">
      <c r="A1915">
        <v>2.5309586728820799E-45</v>
      </c>
      <c r="B1915">
        <v>0.57458373206718705</v>
      </c>
      <c r="C1915">
        <v>0.245</v>
      </c>
      <c r="D1915">
        <v>1.0999999999999999E-2</v>
      </c>
      <c r="E1915">
        <v>3.9186833132233202E-41</v>
      </c>
      <c r="F1915">
        <v>3</v>
      </c>
      <c r="G1915" t="s">
        <v>4474</v>
      </c>
      <c r="H1915" t="s">
        <v>4475</v>
      </c>
      <c r="I1915" t="s">
        <v>4474</v>
      </c>
      <c r="J1915" s="1" t="str">
        <f>HYPERLINK("https://zfin.org/ZDB-GENE-050417-116")</f>
        <v>https://zfin.org/ZDB-GENE-050417-116</v>
      </c>
      <c r="K1915" t="s">
        <v>4476</v>
      </c>
    </row>
    <row r="1916" spans="1:11" x14ac:dyDescent="0.2">
      <c r="A1916">
        <v>2.9863555812918298E-45</v>
      </c>
      <c r="B1916">
        <v>0.64135471425399804</v>
      </c>
      <c r="C1916">
        <v>0.245</v>
      </c>
      <c r="D1916">
        <v>1.0999999999999999E-2</v>
      </c>
      <c r="E1916">
        <v>4.6237743465141302E-41</v>
      </c>
      <c r="F1916">
        <v>3</v>
      </c>
      <c r="G1916" t="s">
        <v>4477</v>
      </c>
      <c r="H1916" t="s">
        <v>4478</v>
      </c>
      <c r="I1916" t="s">
        <v>4477</v>
      </c>
      <c r="J1916" s="1" t="str">
        <f>HYPERLINK("https://zfin.org/ZDB-GENE-030131-1917")</f>
        <v>https://zfin.org/ZDB-GENE-030131-1917</v>
      </c>
      <c r="K1916" t="s">
        <v>4479</v>
      </c>
    </row>
    <row r="1917" spans="1:11" x14ac:dyDescent="0.2">
      <c r="A1917">
        <v>3.14224021302393E-45</v>
      </c>
      <c r="B1917">
        <v>0.52166950568703796</v>
      </c>
      <c r="C1917">
        <v>0.245</v>
      </c>
      <c r="D1917">
        <v>1.0999999999999999E-2</v>
      </c>
      <c r="E1917">
        <v>4.8651305218249496E-41</v>
      </c>
      <c r="F1917">
        <v>3</v>
      </c>
      <c r="G1917" t="s">
        <v>4480</v>
      </c>
      <c r="H1917" t="s">
        <v>4481</v>
      </c>
      <c r="I1917" t="s">
        <v>4480</v>
      </c>
      <c r="J1917" s="1" t="str">
        <f>HYPERLINK("https://zfin.org/ZDB-GENE-091204-387")</f>
        <v>https://zfin.org/ZDB-GENE-091204-387</v>
      </c>
      <c r="K1917" t="s">
        <v>4482</v>
      </c>
    </row>
    <row r="1918" spans="1:11" x14ac:dyDescent="0.2">
      <c r="A1918">
        <v>3.2881629454138201E-45</v>
      </c>
      <c r="B1918">
        <v>0.799345289025301</v>
      </c>
      <c r="C1918">
        <v>0.34</v>
      </c>
      <c r="D1918">
        <v>2.7E-2</v>
      </c>
      <c r="E1918">
        <v>5.0910626883842203E-41</v>
      </c>
      <c r="F1918">
        <v>3</v>
      </c>
      <c r="G1918" t="s">
        <v>4483</v>
      </c>
      <c r="H1918" t="s">
        <v>4484</v>
      </c>
      <c r="I1918" t="s">
        <v>4483</v>
      </c>
      <c r="J1918" s="1" t="str">
        <f>HYPERLINK("https://zfin.org/ZDB-GENE-160113-89")</f>
        <v>https://zfin.org/ZDB-GENE-160113-89</v>
      </c>
      <c r="K1918" t="s">
        <v>4485</v>
      </c>
    </row>
    <row r="1919" spans="1:11" x14ac:dyDescent="0.2">
      <c r="A1919">
        <v>5.2117936164177299E-45</v>
      </c>
      <c r="B1919">
        <v>1.68198084436796</v>
      </c>
      <c r="C1919">
        <v>0.94699999999999995</v>
      </c>
      <c r="D1919">
        <v>0.61499999999999999</v>
      </c>
      <c r="E1919">
        <v>8.0694200562995599E-41</v>
      </c>
      <c r="F1919">
        <v>3</v>
      </c>
      <c r="G1919" t="s">
        <v>4486</v>
      </c>
      <c r="H1919" t="s">
        <v>4487</v>
      </c>
      <c r="I1919" t="s">
        <v>4486</v>
      </c>
      <c r="J1919" s="1" t="str">
        <f>HYPERLINK("https://zfin.org/ZDB-GENE-030131-8625")</f>
        <v>https://zfin.org/ZDB-GENE-030131-8625</v>
      </c>
      <c r="K1919" t="s">
        <v>4488</v>
      </c>
    </row>
    <row r="1920" spans="1:11" x14ac:dyDescent="0.2">
      <c r="A1920">
        <v>6.5383733982343496E-45</v>
      </c>
      <c r="B1920">
        <v>0.74758903943678401</v>
      </c>
      <c r="C1920">
        <v>0.35099999999999998</v>
      </c>
      <c r="D1920">
        <v>2.9000000000000001E-2</v>
      </c>
      <c r="E1920">
        <v>1.0123363532486199E-40</v>
      </c>
      <c r="F1920">
        <v>3</v>
      </c>
      <c r="G1920" t="s">
        <v>4489</v>
      </c>
      <c r="H1920" t="s">
        <v>4490</v>
      </c>
      <c r="I1920" t="s">
        <v>4489</v>
      </c>
      <c r="J1920" s="1" t="str">
        <f>HYPERLINK("https://zfin.org/ZDB-GENE-050522-471")</f>
        <v>https://zfin.org/ZDB-GENE-050522-471</v>
      </c>
      <c r="K1920" t="s">
        <v>4491</v>
      </c>
    </row>
    <row r="1921" spans="1:11" x14ac:dyDescent="0.2">
      <c r="A1921">
        <v>8.27157462006476E-45</v>
      </c>
      <c r="B1921">
        <v>0.724693904356281</v>
      </c>
      <c r="C1921">
        <v>0.27700000000000002</v>
      </c>
      <c r="D1921">
        <v>1.4999999999999999E-2</v>
      </c>
      <c r="E1921">
        <v>1.28068789842463E-40</v>
      </c>
      <c r="F1921">
        <v>3</v>
      </c>
      <c r="G1921" t="s">
        <v>4492</v>
      </c>
      <c r="H1921" t="s">
        <v>4493</v>
      </c>
      <c r="I1921" t="s">
        <v>4492</v>
      </c>
      <c r="J1921" s="1" t="str">
        <f>HYPERLINK("https://zfin.org/ZDB-GENE-050913-156")</f>
        <v>https://zfin.org/ZDB-GENE-050913-156</v>
      </c>
      <c r="K1921" t="s">
        <v>4494</v>
      </c>
    </row>
    <row r="1922" spans="1:11" x14ac:dyDescent="0.2">
      <c r="A1922">
        <v>1.3912277005963401E-44</v>
      </c>
      <c r="B1922">
        <v>1.6203545727659201</v>
      </c>
      <c r="C1922">
        <v>0.97899999999999998</v>
      </c>
      <c r="D1922">
        <v>0.63800000000000001</v>
      </c>
      <c r="E1922">
        <v>2.1540378488333199E-40</v>
      </c>
      <c r="F1922">
        <v>3</v>
      </c>
      <c r="G1922" t="s">
        <v>4495</v>
      </c>
      <c r="H1922" t="s">
        <v>4496</v>
      </c>
      <c r="I1922" t="s">
        <v>4495</v>
      </c>
      <c r="J1922" s="1" t="str">
        <f>HYPERLINK("https://zfin.org/ZDB-GENE-040912-122")</f>
        <v>https://zfin.org/ZDB-GENE-040912-122</v>
      </c>
      <c r="K1922" t="s">
        <v>4497</v>
      </c>
    </row>
    <row r="1923" spans="1:11" x14ac:dyDescent="0.2">
      <c r="A1923">
        <v>2.42140182304795E-44</v>
      </c>
      <c r="B1923">
        <v>0.90221353045639696</v>
      </c>
      <c r="C1923">
        <v>0.42599999999999999</v>
      </c>
      <c r="D1923">
        <v>4.7E-2</v>
      </c>
      <c r="E1923">
        <v>3.7490564426251397E-40</v>
      </c>
      <c r="F1923">
        <v>3</v>
      </c>
      <c r="G1923" t="s">
        <v>4498</v>
      </c>
      <c r="H1923" t="s">
        <v>4499</v>
      </c>
      <c r="I1923" t="s">
        <v>4498</v>
      </c>
      <c r="J1923" s="1" t="str">
        <f>HYPERLINK("https://zfin.org/ZDB-GENE-030131-9686")</f>
        <v>https://zfin.org/ZDB-GENE-030131-9686</v>
      </c>
      <c r="K1923" t="s">
        <v>4500</v>
      </c>
    </row>
    <row r="1924" spans="1:11" x14ac:dyDescent="0.2">
      <c r="A1924">
        <v>2.6655372223399402E-44</v>
      </c>
      <c r="B1924">
        <v>0.58602518309190099</v>
      </c>
      <c r="C1924">
        <v>0.18099999999999999</v>
      </c>
      <c r="D1924">
        <v>4.0000000000000001E-3</v>
      </c>
      <c r="E1924">
        <v>4.1270512813489198E-40</v>
      </c>
      <c r="F1924">
        <v>3</v>
      </c>
      <c r="G1924" t="s">
        <v>4501</v>
      </c>
      <c r="H1924" t="s">
        <v>4502</v>
      </c>
      <c r="I1924" t="s">
        <v>4501</v>
      </c>
      <c r="J1924" s="1" t="str">
        <f>HYPERLINK("https://zfin.org/ZDB-GENE-090313-328")</f>
        <v>https://zfin.org/ZDB-GENE-090313-328</v>
      </c>
      <c r="K1924" t="s">
        <v>4503</v>
      </c>
    </row>
    <row r="1925" spans="1:11" x14ac:dyDescent="0.2">
      <c r="A1925">
        <v>3.0907339048423502E-44</v>
      </c>
      <c r="B1925">
        <v>0.46519138790463599</v>
      </c>
      <c r="C1925">
        <v>0.18099999999999999</v>
      </c>
      <c r="D1925">
        <v>4.0000000000000001E-3</v>
      </c>
      <c r="E1925">
        <v>4.78538330486741E-40</v>
      </c>
      <c r="F1925">
        <v>3</v>
      </c>
      <c r="G1925" t="s">
        <v>4504</v>
      </c>
      <c r="H1925" t="s">
        <v>4505</v>
      </c>
      <c r="I1925" t="s">
        <v>4504</v>
      </c>
      <c r="J1925" s="1" t="str">
        <f>HYPERLINK("https://zfin.org/ZDB-GENE-070112-422")</f>
        <v>https://zfin.org/ZDB-GENE-070112-422</v>
      </c>
      <c r="K1925" t="s">
        <v>4506</v>
      </c>
    </row>
    <row r="1926" spans="1:11" x14ac:dyDescent="0.2">
      <c r="A1926">
        <v>1.18572104142275E-43</v>
      </c>
      <c r="B1926">
        <v>0.40878473884038402</v>
      </c>
      <c r="C1926">
        <v>0.223</v>
      </c>
      <c r="D1926">
        <v>8.0000000000000002E-3</v>
      </c>
      <c r="E1926">
        <v>1.83585188843484E-39</v>
      </c>
      <c r="F1926">
        <v>3</v>
      </c>
      <c r="G1926" t="s">
        <v>4507</v>
      </c>
      <c r="H1926" t="s">
        <v>4508</v>
      </c>
      <c r="I1926" t="s">
        <v>4507</v>
      </c>
      <c r="J1926" s="1" t="str">
        <f>HYPERLINK("https://zfin.org/ZDB-GENE-040912-35")</f>
        <v>https://zfin.org/ZDB-GENE-040912-35</v>
      </c>
      <c r="K1926" t="s">
        <v>4509</v>
      </c>
    </row>
    <row r="1927" spans="1:11" x14ac:dyDescent="0.2">
      <c r="A1927">
        <v>1.45894327407087E-43</v>
      </c>
      <c r="B1927">
        <v>1.0768908435503199</v>
      </c>
      <c r="C1927">
        <v>0.47899999999999998</v>
      </c>
      <c r="D1927">
        <v>6.4000000000000001E-2</v>
      </c>
      <c r="E1927">
        <v>2.2588818712439201E-39</v>
      </c>
      <c r="F1927">
        <v>3</v>
      </c>
      <c r="G1927" t="s">
        <v>4510</v>
      </c>
      <c r="H1927" t="s">
        <v>4511</v>
      </c>
      <c r="I1927" t="s">
        <v>4510</v>
      </c>
      <c r="J1927" s="1" t="str">
        <f>HYPERLINK("https://zfin.org/ZDB-GENE-110404-2")</f>
        <v>https://zfin.org/ZDB-GENE-110404-2</v>
      </c>
      <c r="K1927" t="s">
        <v>4512</v>
      </c>
    </row>
    <row r="1928" spans="1:11" x14ac:dyDescent="0.2">
      <c r="A1928">
        <v>1.8054631337265501E-43</v>
      </c>
      <c r="B1928">
        <v>0.63180969179563595</v>
      </c>
      <c r="C1928">
        <v>0.23400000000000001</v>
      </c>
      <c r="D1928">
        <v>0.01</v>
      </c>
      <c r="E1928">
        <v>2.7953985699488199E-39</v>
      </c>
      <c r="F1928">
        <v>3</v>
      </c>
      <c r="G1928" t="s">
        <v>4513</v>
      </c>
      <c r="H1928" t="s">
        <v>4514</v>
      </c>
      <c r="I1928" t="s">
        <v>4513</v>
      </c>
      <c r="J1928" s="1" t="str">
        <f>HYPERLINK("https://zfin.org/ZDB-GENE-050419-148")</f>
        <v>https://zfin.org/ZDB-GENE-050419-148</v>
      </c>
      <c r="K1928" t="s">
        <v>4515</v>
      </c>
    </row>
    <row r="1929" spans="1:11" x14ac:dyDescent="0.2">
      <c r="A1929">
        <v>1.8923884623628001E-43</v>
      </c>
      <c r="B1929">
        <v>0.78412419232195096</v>
      </c>
      <c r="C1929">
        <v>0.26600000000000001</v>
      </c>
      <c r="D1929">
        <v>1.4999999999999999E-2</v>
      </c>
      <c r="E1929">
        <v>2.9299850562763299E-39</v>
      </c>
      <c r="F1929">
        <v>3</v>
      </c>
      <c r="G1929" t="s">
        <v>4516</v>
      </c>
      <c r="H1929" t="s">
        <v>4517</v>
      </c>
      <c r="I1929" t="s">
        <v>4516</v>
      </c>
      <c r="J1929" s="1" t="str">
        <f>HYPERLINK("https://zfin.org/ZDB-GENE-050522-103")</f>
        <v>https://zfin.org/ZDB-GENE-050522-103</v>
      </c>
      <c r="K1929" t="s">
        <v>4518</v>
      </c>
    </row>
    <row r="1930" spans="1:11" x14ac:dyDescent="0.2">
      <c r="A1930">
        <v>4.7247295229996496E-43</v>
      </c>
      <c r="B1930">
        <v>0.66500261491657697</v>
      </c>
      <c r="C1930">
        <v>0.27700000000000002</v>
      </c>
      <c r="D1930">
        <v>1.7000000000000001E-2</v>
      </c>
      <c r="E1930">
        <v>7.3152987204603495E-39</v>
      </c>
      <c r="F1930">
        <v>3</v>
      </c>
      <c r="G1930" t="s">
        <v>4519</v>
      </c>
      <c r="H1930" t="s">
        <v>4520</v>
      </c>
      <c r="I1930" t="s">
        <v>4519</v>
      </c>
      <c r="J1930" s="1" t="str">
        <f>HYPERLINK("https://zfin.org/ZDB-GENE-040426-2923")</f>
        <v>https://zfin.org/ZDB-GENE-040426-2923</v>
      </c>
      <c r="K1930" t="s">
        <v>4521</v>
      </c>
    </row>
    <row r="1931" spans="1:11" x14ac:dyDescent="0.2">
      <c r="A1931">
        <v>9.6491659437412994E-43</v>
      </c>
      <c r="B1931">
        <v>0.70561851996356795</v>
      </c>
      <c r="C1931">
        <v>0.33</v>
      </c>
      <c r="D1931">
        <v>2.7E-2</v>
      </c>
      <c r="E1931">
        <v>1.49398036306947E-38</v>
      </c>
      <c r="F1931">
        <v>3</v>
      </c>
      <c r="G1931" t="s">
        <v>4522</v>
      </c>
      <c r="H1931" t="s">
        <v>4523</v>
      </c>
      <c r="I1931" t="s">
        <v>4522</v>
      </c>
      <c r="J1931" s="1" t="str">
        <f>HYPERLINK("https://zfin.org/ZDB-GENE-020419-21")</f>
        <v>https://zfin.org/ZDB-GENE-020419-21</v>
      </c>
      <c r="K1931" t="s">
        <v>4524</v>
      </c>
    </row>
    <row r="1932" spans="1:11" x14ac:dyDescent="0.2">
      <c r="A1932">
        <v>1.08376238264528E-42</v>
      </c>
      <c r="B1932">
        <v>1.0303779493082701</v>
      </c>
      <c r="C1932">
        <v>0.48899999999999999</v>
      </c>
      <c r="D1932">
        <v>6.9000000000000006E-2</v>
      </c>
      <c r="E1932">
        <v>1.67798929704968E-38</v>
      </c>
      <c r="F1932">
        <v>3</v>
      </c>
      <c r="G1932" t="s">
        <v>4525</v>
      </c>
      <c r="H1932" t="s">
        <v>4526</v>
      </c>
      <c r="I1932" t="s">
        <v>4525</v>
      </c>
      <c r="J1932" s="1" t="str">
        <f>HYPERLINK("https://zfin.org/ZDB-GENE-040824-3")</f>
        <v>https://zfin.org/ZDB-GENE-040824-3</v>
      </c>
      <c r="K1932" t="s">
        <v>4527</v>
      </c>
    </row>
    <row r="1933" spans="1:11" x14ac:dyDescent="0.2">
      <c r="A1933">
        <v>1.66023976454786E-42</v>
      </c>
      <c r="B1933">
        <v>0.72395341905182198</v>
      </c>
      <c r="C1933">
        <v>0.223</v>
      </c>
      <c r="D1933">
        <v>8.9999999999999993E-3</v>
      </c>
      <c r="E1933">
        <v>2.57054922744945E-38</v>
      </c>
      <c r="F1933">
        <v>3</v>
      </c>
      <c r="G1933" t="s">
        <v>4528</v>
      </c>
      <c r="H1933" t="s">
        <v>4529</v>
      </c>
      <c r="I1933" t="s">
        <v>4528</v>
      </c>
      <c r="J1933" s="1" t="str">
        <f>HYPERLINK("https://zfin.org/ZDB-GENE-030131-4027")</f>
        <v>https://zfin.org/ZDB-GENE-030131-4027</v>
      </c>
      <c r="K1933" t="s">
        <v>4530</v>
      </c>
    </row>
    <row r="1934" spans="1:11" x14ac:dyDescent="0.2">
      <c r="A1934">
        <v>2.8685147743517999E-42</v>
      </c>
      <c r="B1934">
        <v>0.59754220332238905</v>
      </c>
      <c r="C1934">
        <v>0.26600000000000001</v>
      </c>
      <c r="D1934">
        <v>1.4999999999999999E-2</v>
      </c>
      <c r="E1934">
        <v>4.4413214251288899E-38</v>
      </c>
      <c r="F1934">
        <v>3</v>
      </c>
      <c r="G1934" t="s">
        <v>4531</v>
      </c>
      <c r="H1934" t="s">
        <v>4532</v>
      </c>
      <c r="I1934" t="s">
        <v>4531</v>
      </c>
      <c r="J1934" s="1" t="str">
        <f>HYPERLINK("https://zfin.org/ZDB-GENE-081104-345")</f>
        <v>https://zfin.org/ZDB-GENE-081104-345</v>
      </c>
      <c r="K1934" t="s">
        <v>4533</v>
      </c>
    </row>
    <row r="1935" spans="1:11" x14ac:dyDescent="0.2">
      <c r="A1935">
        <v>3.0230627874334402E-42</v>
      </c>
      <c r="B1935">
        <v>1.3693854947175099</v>
      </c>
      <c r="C1935">
        <v>0.27700000000000002</v>
      </c>
      <c r="D1935">
        <v>1.7999999999999999E-2</v>
      </c>
      <c r="E1935">
        <v>4.6806081137831999E-38</v>
      </c>
      <c r="F1935">
        <v>3</v>
      </c>
      <c r="G1935" t="s">
        <v>4534</v>
      </c>
      <c r="H1935" t="s">
        <v>4535</v>
      </c>
      <c r="I1935" t="s">
        <v>4534</v>
      </c>
      <c r="J1935" s="1" t="str">
        <f>HYPERLINK("https://zfin.org/ZDB-GENE-030804-13")</f>
        <v>https://zfin.org/ZDB-GENE-030804-13</v>
      </c>
      <c r="K1935" t="s">
        <v>4536</v>
      </c>
    </row>
    <row r="1936" spans="1:11" x14ac:dyDescent="0.2">
      <c r="A1936">
        <v>1.06844472888693E-41</v>
      </c>
      <c r="B1936">
        <v>0.56711918257975502</v>
      </c>
      <c r="C1936">
        <v>0.27700000000000002</v>
      </c>
      <c r="D1936">
        <v>1.7999999999999999E-2</v>
      </c>
      <c r="E1936">
        <v>1.6542729737356401E-37</v>
      </c>
      <c r="F1936">
        <v>3</v>
      </c>
      <c r="G1936" t="s">
        <v>4537</v>
      </c>
      <c r="H1936" t="s">
        <v>4538</v>
      </c>
      <c r="I1936" t="s">
        <v>4537</v>
      </c>
      <c r="J1936" s="1" t="str">
        <f>HYPERLINK("https://zfin.org/ZDB-GENE-040426-1558")</f>
        <v>https://zfin.org/ZDB-GENE-040426-1558</v>
      </c>
      <c r="K1936" t="s">
        <v>4539</v>
      </c>
    </row>
    <row r="1937" spans="1:11" x14ac:dyDescent="0.2">
      <c r="A1937">
        <v>4.3184703855732598E-41</v>
      </c>
      <c r="B1937">
        <v>0.44181525662252003</v>
      </c>
      <c r="C1937">
        <v>0.21299999999999999</v>
      </c>
      <c r="D1937">
        <v>8.0000000000000002E-3</v>
      </c>
      <c r="E1937">
        <v>6.6862876979830701E-37</v>
      </c>
      <c r="F1937">
        <v>3</v>
      </c>
      <c r="G1937" t="s">
        <v>4540</v>
      </c>
      <c r="H1937" t="s">
        <v>4541</v>
      </c>
      <c r="I1937" t="s">
        <v>4540</v>
      </c>
      <c r="J1937" s="1" t="str">
        <f>HYPERLINK("https://zfin.org/ZDB-GENE-030616-408")</f>
        <v>https://zfin.org/ZDB-GENE-030616-408</v>
      </c>
      <c r="K1937" t="s">
        <v>4542</v>
      </c>
    </row>
    <row r="1938" spans="1:11" x14ac:dyDescent="0.2">
      <c r="A1938">
        <v>1.38140695386529E-40</v>
      </c>
      <c r="B1938">
        <v>1.34339616624648</v>
      </c>
      <c r="C1938">
        <v>0.97899999999999998</v>
      </c>
      <c r="D1938">
        <v>0.86799999999999999</v>
      </c>
      <c r="E1938">
        <v>2.1388323866696201E-36</v>
      </c>
      <c r="F1938">
        <v>3</v>
      </c>
      <c r="G1938" t="s">
        <v>4543</v>
      </c>
      <c r="H1938" t="s">
        <v>4544</v>
      </c>
      <c r="I1938" t="s">
        <v>4543</v>
      </c>
      <c r="J1938" s="1" t="str">
        <f>HYPERLINK("https://zfin.org/ZDB-GENE-051120-126")</f>
        <v>https://zfin.org/ZDB-GENE-051120-126</v>
      </c>
      <c r="K1938" t="s">
        <v>4545</v>
      </c>
    </row>
    <row r="1939" spans="1:11" x14ac:dyDescent="0.2">
      <c r="A1939">
        <v>1.81871031623275E-40</v>
      </c>
      <c r="B1939">
        <v>0.75534356184610196</v>
      </c>
      <c r="C1939">
        <v>0.29799999999999999</v>
      </c>
      <c r="D1939">
        <v>2.1999999999999999E-2</v>
      </c>
      <c r="E1939">
        <v>2.8159091826231702E-36</v>
      </c>
      <c r="F1939">
        <v>3</v>
      </c>
      <c r="G1939" t="s">
        <v>4546</v>
      </c>
      <c r="H1939" t="s">
        <v>4547</v>
      </c>
      <c r="I1939" t="s">
        <v>4546</v>
      </c>
      <c r="J1939" s="1" t="str">
        <f>HYPERLINK("https://zfin.org/ZDB-GENE-041114-171")</f>
        <v>https://zfin.org/ZDB-GENE-041114-171</v>
      </c>
      <c r="K1939" t="s">
        <v>4548</v>
      </c>
    </row>
    <row r="1940" spans="1:11" x14ac:dyDescent="0.2">
      <c r="A1940">
        <v>1.83079583160284E-40</v>
      </c>
      <c r="B1940">
        <v>0.49736392803745</v>
      </c>
      <c r="C1940">
        <v>0.28699999999999998</v>
      </c>
      <c r="D1940">
        <v>0.02</v>
      </c>
      <c r="E1940">
        <v>2.8346211860706701E-36</v>
      </c>
      <c r="F1940">
        <v>3</v>
      </c>
      <c r="G1940" t="s">
        <v>4549</v>
      </c>
      <c r="H1940" t="s">
        <v>4550</v>
      </c>
      <c r="I1940" t="s">
        <v>4549</v>
      </c>
      <c r="J1940" s="1" t="str">
        <f>HYPERLINK("https://zfin.org/")</f>
        <v>https://zfin.org/</v>
      </c>
      <c r="K1940" t="s">
        <v>4551</v>
      </c>
    </row>
    <row r="1941" spans="1:11" x14ac:dyDescent="0.2">
      <c r="A1941">
        <v>4.2819687036276699E-40</v>
      </c>
      <c r="B1941">
        <v>0.32398017324282402</v>
      </c>
      <c r="C1941">
        <v>0.16</v>
      </c>
      <c r="D1941">
        <v>3.0000000000000001E-3</v>
      </c>
      <c r="E1941">
        <v>6.6297721438267299E-36</v>
      </c>
      <c r="F1941">
        <v>3</v>
      </c>
      <c r="G1941" t="s">
        <v>4552</v>
      </c>
      <c r="H1941" t="s">
        <v>4553</v>
      </c>
      <c r="I1941" t="s">
        <v>4552</v>
      </c>
      <c r="J1941" s="1" t="str">
        <f>HYPERLINK("https://zfin.org/ZDB-GENE-070410-100")</f>
        <v>https://zfin.org/ZDB-GENE-070410-100</v>
      </c>
      <c r="K1941" t="s">
        <v>4554</v>
      </c>
    </row>
    <row r="1942" spans="1:11" x14ac:dyDescent="0.2">
      <c r="A1942">
        <v>9.1972024978912107E-40</v>
      </c>
      <c r="B1942">
        <v>0.63259465498977696</v>
      </c>
      <c r="C1942">
        <v>0.223</v>
      </c>
      <c r="D1942">
        <v>1.0999999999999999E-2</v>
      </c>
      <c r="E1942">
        <v>1.4240028627485E-35</v>
      </c>
      <c r="F1942">
        <v>3</v>
      </c>
      <c r="G1942" t="s">
        <v>4555</v>
      </c>
      <c r="H1942" t="s">
        <v>4556</v>
      </c>
      <c r="I1942" t="s">
        <v>4555</v>
      </c>
      <c r="J1942" s="1" t="str">
        <f>HYPERLINK("https://zfin.org/ZDB-GENE-131125-93")</f>
        <v>https://zfin.org/ZDB-GENE-131125-93</v>
      </c>
      <c r="K1942" t="s">
        <v>4557</v>
      </c>
    </row>
    <row r="1943" spans="1:11" x14ac:dyDescent="0.2">
      <c r="A1943">
        <v>2.79141801971445E-39</v>
      </c>
      <c r="B1943">
        <v>1.2663094405409201</v>
      </c>
      <c r="C1943">
        <v>0.85099999999999998</v>
      </c>
      <c r="D1943">
        <v>0.307</v>
      </c>
      <c r="E1943">
        <v>4.3219525199238802E-35</v>
      </c>
      <c r="F1943">
        <v>3</v>
      </c>
      <c r="G1943" t="s">
        <v>3638</v>
      </c>
      <c r="H1943" t="s">
        <v>3639</v>
      </c>
      <c r="I1943" t="s">
        <v>3638</v>
      </c>
      <c r="J1943" s="1" t="str">
        <f>HYPERLINK("https://zfin.org/ZDB-GENE-060503-618")</f>
        <v>https://zfin.org/ZDB-GENE-060503-618</v>
      </c>
      <c r="K1943" t="s">
        <v>3640</v>
      </c>
    </row>
    <row r="1944" spans="1:11" x14ac:dyDescent="0.2">
      <c r="A1944">
        <v>3.4212264558075302E-39</v>
      </c>
      <c r="B1944">
        <v>0.79994025395569102</v>
      </c>
      <c r="C1944">
        <v>0.29799999999999999</v>
      </c>
      <c r="D1944">
        <v>2.4E-2</v>
      </c>
      <c r="E1944">
        <v>5.2970849215268004E-35</v>
      </c>
      <c r="F1944">
        <v>3</v>
      </c>
      <c r="G1944" t="s">
        <v>4558</v>
      </c>
      <c r="H1944" t="s">
        <v>4559</v>
      </c>
      <c r="I1944" t="s">
        <v>4558</v>
      </c>
      <c r="J1944" s="1" t="str">
        <f>HYPERLINK("https://zfin.org/ZDB-GENE-091118-108")</f>
        <v>https://zfin.org/ZDB-GENE-091118-108</v>
      </c>
      <c r="K1944" t="s">
        <v>4560</v>
      </c>
    </row>
    <row r="1945" spans="1:11" x14ac:dyDescent="0.2">
      <c r="A1945">
        <v>7.5767894909254694E-39</v>
      </c>
      <c r="B1945">
        <v>0.52972654614174097</v>
      </c>
      <c r="C1945">
        <v>0.245</v>
      </c>
      <c r="D1945">
        <v>1.4E-2</v>
      </c>
      <c r="E1945">
        <v>1.17311431687999E-34</v>
      </c>
      <c r="F1945">
        <v>3</v>
      </c>
      <c r="G1945" t="s">
        <v>4561</v>
      </c>
      <c r="H1945" t="s">
        <v>4562</v>
      </c>
      <c r="I1945" t="s">
        <v>4561</v>
      </c>
      <c r="J1945" s="1" t="str">
        <f>HYPERLINK("https://zfin.org/ZDB-GENE-030131-5105")</f>
        <v>https://zfin.org/ZDB-GENE-030131-5105</v>
      </c>
      <c r="K1945" t="s">
        <v>4563</v>
      </c>
    </row>
    <row r="1946" spans="1:11" x14ac:dyDescent="0.2">
      <c r="A1946">
        <v>1.10017101432141E-38</v>
      </c>
      <c r="B1946">
        <v>0.66475552684275196</v>
      </c>
      <c r="C1946">
        <v>0.255</v>
      </c>
      <c r="D1946">
        <v>1.6E-2</v>
      </c>
      <c r="E1946">
        <v>1.7033947814738401E-34</v>
      </c>
      <c r="F1946">
        <v>3</v>
      </c>
      <c r="G1946" t="s">
        <v>4564</v>
      </c>
      <c r="H1946" t="s">
        <v>4565</v>
      </c>
      <c r="I1946" t="s">
        <v>4564</v>
      </c>
      <c r="J1946" s="1" t="str">
        <f>HYPERLINK("https://zfin.org/ZDB-GENE-050506-131")</f>
        <v>https://zfin.org/ZDB-GENE-050506-131</v>
      </c>
      <c r="K1946" t="s">
        <v>4566</v>
      </c>
    </row>
    <row r="1947" spans="1:11" x14ac:dyDescent="0.2">
      <c r="A1947">
        <v>4.5722785826093498E-38</v>
      </c>
      <c r="B1947">
        <v>0.62097625725917505</v>
      </c>
      <c r="C1947">
        <v>0.20200000000000001</v>
      </c>
      <c r="D1947">
        <v>8.0000000000000002E-3</v>
      </c>
      <c r="E1947">
        <v>7.0792589294540601E-34</v>
      </c>
      <c r="F1947">
        <v>3</v>
      </c>
      <c r="G1947" t="s">
        <v>4567</v>
      </c>
      <c r="H1947" t="s">
        <v>4568</v>
      </c>
      <c r="I1947" t="s">
        <v>4567</v>
      </c>
      <c r="J1947" s="1" t="str">
        <f>HYPERLINK("https://zfin.org/ZDB-GENE-041111-260")</f>
        <v>https://zfin.org/ZDB-GENE-041111-260</v>
      </c>
      <c r="K1947" t="s">
        <v>4569</v>
      </c>
    </row>
    <row r="1948" spans="1:11" x14ac:dyDescent="0.2">
      <c r="A1948">
        <v>5.0025923862269995E-38</v>
      </c>
      <c r="B1948">
        <v>0.37053694990542202</v>
      </c>
      <c r="C1948">
        <v>0.20200000000000001</v>
      </c>
      <c r="D1948">
        <v>8.0000000000000002E-3</v>
      </c>
      <c r="E1948">
        <v>7.74551379159526E-34</v>
      </c>
      <c r="F1948">
        <v>3</v>
      </c>
      <c r="G1948" t="s">
        <v>4570</v>
      </c>
      <c r="H1948" t="s">
        <v>4571</v>
      </c>
      <c r="I1948" t="s">
        <v>4570</v>
      </c>
      <c r="J1948" s="1" t="str">
        <f>HYPERLINK("https://zfin.org/ZDB-GENE-040426-1488")</f>
        <v>https://zfin.org/ZDB-GENE-040426-1488</v>
      </c>
      <c r="K1948" t="s">
        <v>4572</v>
      </c>
    </row>
    <row r="1949" spans="1:11" x14ac:dyDescent="0.2">
      <c r="A1949">
        <v>9.3547452904203996E-38</v>
      </c>
      <c r="B1949">
        <v>0.78201524741196304</v>
      </c>
      <c r="C1949">
        <v>0.39400000000000002</v>
      </c>
      <c r="D1949">
        <v>4.9000000000000002E-2</v>
      </c>
      <c r="E1949">
        <v>1.44839521331579E-33</v>
      </c>
      <c r="F1949">
        <v>3</v>
      </c>
      <c r="G1949" t="s">
        <v>4573</v>
      </c>
      <c r="H1949" t="s">
        <v>4574</v>
      </c>
      <c r="I1949" t="s">
        <v>4573</v>
      </c>
      <c r="J1949" s="1" t="str">
        <f>HYPERLINK("https://zfin.org/ZDB-GENE-110411-78")</f>
        <v>https://zfin.org/ZDB-GENE-110411-78</v>
      </c>
      <c r="K1949" t="s">
        <v>4575</v>
      </c>
    </row>
    <row r="1950" spans="1:11" x14ac:dyDescent="0.2">
      <c r="A1950">
        <v>1.0546306007471701E-37</v>
      </c>
      <c r="B1950">
        <v>0.74208173858391102</v>
      </c>
      <c r="C1950">
        <v>0.23400000000000001</v>
      </c>
      <c r="D1950">
        <v>1.2999999999999999E-2</v>
      </c>
      <c r="E1950">
        <v>1.6328845591368398E-33</v>
      </c>
      <c r="F1950">
        <v>3</v>
      </c>
      <c r="G1950" t="s">
        <v>4576</v>
      </c>
      <c r="H1950" t="s">
        <v>4577</v>
      </c>
      <c r="I1950" t="s">
        <v>4576</v>
      </c>
      <c r="J1950" s="1" t="str">
        <f>HYPERLINK("https://zfin.org/ZDB-GENE-041111-205")</f>
        <v>https://zfin.org/ZDB-GENE-041111-205</v>
      </c>
      <c r="K1950" t="s">
        <v>4578</v>
      </c>
    </row>
    <row r="1951" spans="1:11" x14ac:dyDescent="0.2">
      <c r="A1951">
        <v>1.1043545756795E-37</v>
      </c>
      <c r="B1951">
        <v>1.17044640777644</v>
      </c>
      <c r="C1951">
        <v>0.61699999999999999</v>
      </c>
      <c r="D1951">
        <v>0.13500000000000001</v>
      </c>
      <c r="E1951">
        <v>1.7098721895245799E-33</v>
      </c>
      <c r="F1951">
        <v>3</v>
      </c>
      <c r="G1951" t="s">
        <v>4579</v>
      </c>
      <c r="H1951" t="s">
        <v>4580</v>
      </c>
      <c r="I1951" t="s">
        <v>4579</v>
      </c>
      <c r="J1951" s="1" t="str">
        <f>HYPERLINK("https://zfin.org/ZDB-GENE-040426-977")</f>
        <v>https://zfin.org/ZDB-GENE-040426-977</v>
      </c>
      <c r="K1951" t="s">
        <v>4581</v>
      </c>
    </row>
    <row r="1952" spans="1:11" x14ac:dyDescent="0.2">
      <c r="A1952">
        <v>2.25444744549775E-37</v>
      </c>
      <c r="B1952">
        <v>1.22095373097728</v>
      </c>
      <c r="C1952">
        <v>0.64900000000000002</v>
      </c>
      <c r="D1952">
        <v>0.16300000000000001</v>
      </c>
      <c r="E1952">
        <v>3.4905609798641698E-33</v>
      </c>
      <c r="F1952">
        <v>3</v>
      </c>
      <c r="G1952" t="s">
        <v>4582</v>
      </c>
      <c r="H1952" t="s">
        <v>4583</v>
      </c>
      <c r="I1952" t="s">
        <v>4582</v>
      </c>
      <c r="J1952" s="1" t="str">
        <f>HYPERLINK("https://zfin.org/ZDB-GENE-030131-445")</f>
        <v>https://zfin.org/ZDB-GENE-030131-445</v>
      </c>
      <c r="K1952" t="s">
        <v>4584</v>
      </c>
    </row>
    <row r="1953" spans="1:11" x14ac:dyDescent="0.2">
      <c r="A1953">
        <v>4.9491397812728698E-37</v>
      </c>
      <c r="B1953">
        <v>0.85698116651367295</v>
      </c>
      <c r="C1953">
        <v>0.28699999999999998</v>
      </c>
      <c r="D1953">
        <v>2.4E-2</v>
      </c>
      <c r="E1953">
        <v>7.6627531233447894E-33</v>
      </c>
      <c r="F1953">
        <v>3</v>
      </c>
      <c r="G1953" t="s">
        <v>4585</v>
      </c>
      <c r="H1953" t="s">
        <v>4586</v>
      </c>
      <c r="I1953" t="s">
        <v>4585</v>
      </c>
      <c r="J1953" s="1" t="str">
        <f>HYPERLINK("https://zfin.org/ZDB-GENE-021115-7")</f>
        <v>https://zfin.org/ZDB-GENE-021115-7</v>
      </c>
      <c r="K1953" t="s">
        <v>4587</v>
      </c>
    </row>
    <row r="1954" spans="1:11" x14ac:dyDescent="0.2">
      <c r="A1954">
        <v>8.0447375110155407E-37</v>
      </c>
      <c r="B1954">
        <v>0.482180784376808</v>
      </c>
      <c r="C1954">
        <v>0.18099999999999999</v>
      </c>
      <c r="D1954">
        <v>6.0000000000000001E-3</v>
      </c>
      <c r="E1954">
        <v>1.2455667088305401E-32</v>
      </c>
      <c r="F1954">
        <v>3</v>
      </c>
      <c r="G1954" t="s">
        <v>4588</v>
      </c>
      <c r="H1954" t="s">
        <v>4589</v>
      </c>
      <c r="I1954" t="s">
        <v>4588</v>
      </c>
      <c r="J1954" s="1" t="str">
        <f>HYPERLINK("https://zfin.org/ZDB-GENE-030131-969")</f>
        <v>https://zfin.org/ZDB-GENE-030131-969</v>
      </c>
      <c r="K1954" t="s">
        <v>4590</v>
      </c>
    </row>
    <row r="1955" spans="1:11" x14ac:dyDescent="0.2">
      <c r="A1955">
        <v>1.0303333564541901E-36</v>
      </c>
      <c r="B1955">
        <v>0.38644777662872798</v>
      </c>
      <c r="C1955">
        <v>0.191</v>
      </c>
      <c r="D1955">
        <v>8.0000000000000002E-3</v>
      </c>
      <c r="E1955">
        <v>1.59526513579803E-32</v>
      </c>
      <c r="F1955">
        <v>3</v>
      </c>
      <c r="G1955" t="s">
        <v>4591</v>
      </c>
      <c r="H1955" t="s">
        <v>4592</v>
      </c>
      <c r="I1955" t="s">
        <v>4591</v>
      </c>
      <c r="J1955" s="1" t="str">
        <f>HYPERLINK("https://zfin.org/ZDB-GENE-041114-28")</f>
        <v>https://zfin.org/ZDB-GENE-041114-28</v>
      </c>
      <c r="K1955" t="s">
        <v>4593</v>
      </c>
    </row>
    <row r="1956" spans="1:11" x14ac:dyDescent="0.2">
      <c r="A1956">
        <v>2.13422681975625E-36</v>
      </c>
      <c r="B1956">
        <v>0.42083026263808299</v>
      </c>
      <c r="C1956">
        <v>0.191</v>
      </c>
      <c r="D1956">
        <v>8.0000000000000002E-3</v>
      </c>
      <c r="E1956">
        <v>3.3044233850285998E-32</v>
      </c>
      <c r="F1956">
        <v>3</v>
      </c>
      <c r="G1956" t="s">
        <v>4594</v>
      </c>
      <c r="H1956" t="s">
        <v>4595</v>
      </c>
      <c r="I1956" t="s">
        <v>4594</v>
      </c>
      <c r="J1956" s="1" t="str">
        <f>HYPERLINK("https://zfin.org/ZDB-GENE-040801-161")</f>
        <v>https://zfin.org/ZDB-GENE-040801-161</v>
      </c>
      <c r="K1956" t="s">
        <v>4596</v>
      </c>
    </row>
    <row r="1957" spans="1:11" x14ac:dyDescent="0.2">
      <c r="A1957">
        <v>3.6298909171165697E-36</v>
      </c>
      <c r="B1957">
        <v>1.3173494845936</v>
      </c>
      <c r="C1957">
        <v>0.27700000000000002</v>
      </c>
      <c r="D1957">
        <v>2.1999999999999999E-2</v>
      </c>
      <c r="E1957">
        <v>5.6201601069715902E-32</v>
      </c>
      <c r="F1957">
        <v>3</v>
      </c>
      <c r="G1957" t="s">
        <v>4597</v>
      </c>
      <c r="H1957" t="s">
        <v>4598</v>
      </c>
      <c r="I1957" t="s">
        <v>4597</v>
      </c>
      <c r="J1957" s="1" t="str">
        <f>HYPERLINK("https://zfin.org/ZDB-GENE-081022-132")</f>
        <v>https://zfin.org/ZDB-GENE-081022-132</v>
      </c>
      <c r="K1957" t="s">
        <v>4599</v>
      </c>
    </row>
    <row r="1958" spans="1:11" x14ac:dyDescent="0.2">
      <c r="A1958">
        <v>7.5621087148616996E-36</v>
      </c>
      <c r="B1958">
        <v>0.40291499313157803</v>
      </c>
      <c r="C1958">
        <v>0.16</v>
      </c>
      <c r="D1958">
        <v>4.0000000000000001E-3</v>
      </c>
      <c r="E1958">
        <v>1.17084129232204E-31</v>
      </c>
      <c r="F1958">
        <v>3</v>
      </c>
      <c r="G1958" t="s">
        <v>4600</v>
      </c>
      <c r="H1958" t="s">
        <v>4601</v>
      </c>
      <c r="I1958" t="s">
        <v>4600</v>
      </c>
      <c r="J1958" s="1" t="str">
        <f>HYPERLINK("https://zfin.org/ZDB-GENE-040426-737")</f>
        <v>https://zfin.org/ZDB-GENE-040426-737</v>
      </c>
      <c r="K1958" t="s">
        <v>4602</v>
      </c>
    </row>
    <row r="1959" spans="1:11" x14ac:dyDescent="0.2">
      <c r="A1959">
        <v>1.3917883762688999E-35</v>
      </c>
      <c r="B1959">
        <v>1.46991044506056</v>
      </c>
      <c r="C1959">
        <v>0.98899999999999999</v>
      </c>
      <c r="D1959">
        <v>0.76200000000000001</v>
      </c>
      <c r="E1959">
        <v>2.1549059429771299E-31</v>
      </c>
      <c r="F1959">
        <v>3</v>
      </c>
      <c r="G1959" t="s">
        <v>4121</v>
      </c>
      <c r="H1959" t="s">
        <v>4122</v>
      </c>
      <c r="I1959" t="s">
        <v>4121</v>
      </c>
      <c r="J1959" s="1" t="str">
        <f>HYPERLINK("https://zfin.org/ZDB-GENE-051030-81")</f>
        <v>https://zfin.org/ZDB-GENE-051030-81</v>
      </c>
      <c r="K1959" t="s">
        <v>4123</v>
      </c>
    </row>
    <row r="1960" spans="1:11" x14ac:dyDescent="0.2">
      <c r="A1960">
        <v>2.21812548313062E-35</v>
      </c>
      <c r="B1960">
        <v>0.38049543516579598</v>
      </c>
      <c r="C1960">
        <v>0.191</v>
      </c>
      <c r="D1960">
        <v>8.0000000000000002E-3</v>
      </c>
      <c r="E1960">
        <v>3.4343236855311501E-31</v>
      </c>
      <c r="F1960">
        <v>3</v>
      </c>
      <c r="G1960" t="s">
        <v>4603</v>
      </c>
      <c r="H1960" t="s">
        <v>4604</v>
      </c>
      <c r="I1960" t="s">
        <v>4603</v>
      </c>
      <c r="J1960" s="1" t="str">
        <f>HYPERLINK("https://zfin.org/ZDB-GENE-030123-1")</f>
        <v>https://zfin.org/ZDB-GENE-030123-1</v>
      </c>
      <c r="K1960" t="s">
        <v>4605</v>
      </c>
    </row>
    <row r="1961" spans="1:11" x14ac:dyDescent="0.2">
      <c r="A1961">
        <v>2.5030714491418E-35</v>
      </c>
      <c r="B1961">
        <v>0.54625378990085605</v>
      </c>
      <c r="C1961">
        <v>0.20200000000000001</v>
      </c>
      <c r="D1961">
        <v>0.01</v>
      </c>
      <c r="E1961">
        <v>3.8755055247062499E-31</v>
      </c>
      <c r="F1961">
        <v>3</v>
      </c>
      <c r="G1961" t="s">
        <v>4606</v>
      </c>
      <c r="H1961" t="s">
        <v>4607</v>
      </c>
      <c r="I1961" t="s">
        <v>4606</v>
      </c>
      <c r="J1961" s="1" t="str">
        <f>HYPERLINK("https://zfin.org/ZDB-GENE-030616-400")</f>
        <v>https://zfin.org/ZDB-GENE-030616-400</v>
      </c>
      <c r="K1961" t="s">
        <v>4608</v>
      </c>
    </row>
    <row r="1962" spans="1:11" x14ac:dyDescent="0.2">
      <c r="A1962">
        <v>2.9558666734298703E-35</v>
      </c>
      <c r="B1962">
        <v>0.39842920667978499</v>
      </c>
      <c r="C1962">
        <v>0.17</v>
      </c>
      <c r="D1962">
        <v>6.0000000000000001E-3</v>
      </c>
      <c r="E1962">
        <v>4.5765683704714699E-31</v>
      </c>
      <c r="F1962">
        <v>3</v>
      </c>
      <c r="G1962" t="s">
        <v>4609</v>
      </c>
      <c r="H1962" t="s">
        <v>4610</v>
      </c>
      <c r="I1962" t="s">
        <v>4609</v>
      </c>
      <c r="J1962" s="1" t="str">
        <f>HYPERLINK("https://zfin.org/ZDB-GENE-060825-208")</f>
        <v>https://zfin.org/ZDB-GENE-060825-208</v>
      </c>
      <c r="K1962" t="s">
        <v>4611</v>
      </c>
    </row>
    <row r="1963" spans="1:11" x14ac:dyDescent="0.2">
      <c r="A1963">
        <v>3.0784578503793198E-35</v>
      </c>
      <c r="B1963">
        <v>0.48660145747632999</v>
      </c>
      <c r="C1963">
        <v>0.18099999999999999</v>
      </c>
      <c r="D1963">
        <v>7.0000000000000001E-3</v>
      </c>
      <c r="E1963">
        <v>4.7663762897422999E-31</v>
      </c>
      <c r="F1963">
        <v>3</v>
      </c>
      <c r="G1963" t="s">
        <v>4612</v>
      </c>
      <c r="H1963" t="s">
        <v>4613</v>
      </c>
      <c r="I1963" t="s">
        <v>4612</v>
      </c>
      <c r="J1963" s="1" t="str">
        <f>HYPERLINK("https://zfin.org/ZDB-GENE-060929-860")</f>
        <v>https://zfin.org/ZDB-GENE-060929-860</v>
      </c>
      <c r="K1963" t="s">
        <v>4614</v>
      </c>
    </row>
    <row r="1964" spans="1:11" x14ac:dyDescent="0.2">
      <c r="A1964">
        <v>4.8214182082134504E-35</v>
      </c>
      <c r="B1964">
        <v>0.45768766285011397</v>
      </c>
      <c r="C1964">
        <v>0.18099999999999999</v>
      </c>
      <c r="D1964">
        <v>7.0000000000000001E-3</v>
      </c>
      <c r="E1964">
        <v>7.4650018117768899E-31</v>
      </c>
      <c r="F1964">
        <v>3</v>
      </c>
      <c r="G1964" t="s">
        <v>4615</v>
      </c>
      <c r="H1964" t="s">
        <v>4616</v>
      </c>
      <c r="I1964" t="s">
        <v>4615</v>
      </c>
      <c r="J1964" s="1" t="str">
        <f>HYPERLINK("https://zfin.org/ZDB-GENE-030131-5437")</f>
        <v>https://zfin.org/ZDB-GENE-030131-5437</v>
      </c>
      <c r="K1964" t="s">
        <v>4617</v>
      </c>
    </row>
    <row r="1965" spans="1:11" x14ac:dyDescent="0.2">
      <c r="A1965">
        <v>5.64467368441924E-35</v>
      </c>
      <c r="B1965">
        <v>0.88465904640687498</v>
      </c>
      <c r="C1965">
        <v>0.53200000000000003</v>
      </c>
      <c r="D1965">
        <v>9.7000000000000003E-2</v>
      </c>
      <c r="E1965">
        <v>8.7396482655862995E-31</v>
      </c>
      <c r="F1965">
        <v>3</v>
      </c>
      <c r="G1965" t="s">
        <v>4618</v>
      </c>
      <c r="H1965" t="s">
        <v>4619</v>
      </c>
      <c r="I1965" t="s">
        <v>4618</v>
      </c>
      <c r="J1965" s="1" t="str">
        <f>HYPERLINK("https://zfin.org/ZDB-GENE-020419-27")</f>
        <v>https://zfin.org/ZDB-GENE-020419-27</v>
      </c>
      <c r="K1965" t="s">
        <v>4620</v>
      </c>
    </row>
    <row r="1966" spans="1:11" x14ac:dyDescent="0.2">
      <c r="A1966">
        <v>1.09140973225187E-34</v>
      </c>
      <c r="B1966">
        <v>1.2239734726311799</v>
      </c>
      <c r="C1966">
        <v>0.93600000000000005</v>
      </c>
      <c r="D1966">
        <v>0.53900000000000003</v>
      </c>
      <c r="E1966">
        <v>1.6898296884455701E-30</v>
      </c>
      <c r="F1966">
        <v>3</v>
      </c>
      <c r="G1966" t="s">
        <v>3733</v>
      </c>
      <c r="H1966" t="s">
        <v>3734</v>
      </c>
      <c r="I1966" t="s">
        <v>3733</v>
      </c>
      <c r="J1966" s="1" t="str">
        <f>HYPERLINK("https://zfin.org/ZDB-GENE-010502-1")</f>
        <v>https://zfin.org/ZDB-GENE-010502-1</v>
      </c>
      <c r="K1966" t="s">
        <v>3735</v>
      </c>
    </row>
    <row r="1967" spans="1:11" x14ac:dyDescent="0.2">
      <c r="A1967">
        <v>3.2476677717826701E-34</v>
      </c>
      <c r="B1967">
        <v>0.80291794168269903</v>
      </c>
      <c r="C1967">
        <v>0.39400000000000002</v>
      </c>
      <c r="D1967">
        <v>5.5E-2</v>
      </c>
      <c r="E1967">
        <v>5.0283640110510998E-30</v>
      </c>
      <c r="F1967">
        <v>3</v>
      </c>
      <c r="G1967" t="s">
        <v>4621</v>
      </c>
      <c r="H1967" t="s">
        <v>4622</v>
      </c>
      <c r="I1967" t="s">
        <v>4621</v>
      </c>
      <c r="J1967" s="1" t="str">
        <f>HYPERLINK("https://zfin.org/ZDB-GENE-060512-191")</f>
        <v>https://zfin.org/ZDB-GENE-060512-191</v>
      </c>
      <c r="K1967" t="s">
        <v>4623</v>
      </c>
    </row>
    <row r="1968" spans="1:11" x14ac:dyDescent="0.2">
      <c r="A1968">
        <v>3.3887218956429598E-34</v>
      </c>
      <c r="B1968">
        <v>0.740478229580526</v>
      </c>
      <c r="C1968">
        <v>0.20200000000000001</v>
      </c>
      <c r="D1968">
        <v>1.0999999999999999E-2</v>
      </c>
      <c r="E1968">
        <v>5.2467581110239898E-30</v>
      </c>
      <c r="F1968">
        <v>3</v>
      </c>
      <c r="G1968" t="s">
        <v>4624</v>
      </c>
      <c r="H1968" t="s">
        <v>4625</v>
      </c>
      <c r="I1968" t="s">
        <v>4624</v>
      </c>
      <c r="J1968" s="1" t="str">
        <f>HYPERLINK("https://zfin.org/ZDB-GENE-060929-684")</f>
        <v>https://zfin.org/ZDB-GENE-060929-684</v>
      </c>
      <c r="K1968" t="s">
        <v>4626</v>
      </c>
    </row>
    <row r="1969" spans="1:11" x14ac:dyDescent="0.2">
      <c r="A1969">
        <v>3.5727778368055002E-34</v>
      </c>
      <c r="B1969">
        <v>1.44984441996978</v>
      </c>
      <c r="C1969">
        <v>0.91500000000000004</v>
      </c>
      <c r="D1969">
        <v>0.48399999999999999</v>
      </c>
      <c r="E1969">
        <v>5.5317319247259502E-30</v>
      </c>
      <c r="F1969">
        <v>3</v>
      </c>
      <c r="G1969" t="s">
        <v>3098</v>
      </c>
      <c r="H1969" t="s">
        <v>3099</v>
      </c>
      <c r="I1969" t="s">
        <v>3098</v>
      </c>
      <c r="J1969" s="1" t="str">
        <f>HYPERLINK("https://zfin.org/ZDB-GENE-030131-9167")</f>
        <v>https://zfin.org/ZDB-GENE-030131-9167</v>
      </c>
      <c r="K1969" t="s">
        <v>3100</v>
      </c>
    </row>
    <row r="1970" spans="1:11" x14ac:dyDescent="0.2">
      <c r="A1970">
        <v>4.5841511057593301E-34</v>
      </c>
      <c r="B1970">
        <v>0.61925366225428302</v>
      </c>
      <c r="C1970">
        <v>0.29799999999999999</v>
      </c>
      <c r="D1970">
        <v>2.9000000000000001E-2</v>
      </c>
      <c r="E1970">
        <v>7.0976411570471694E-30</v>
      </c>
      <c r="F1970">
        <v>3</v>
      </c>
      <c r="G1970" t="s">
        <v>4627</v>
      </c>
      <c r="H1970" t="s">
        <v>4628</v>
      </c>
      <c r="I1970" t="s">
        <v>4627</v>
      </c>
      <c r="J1970" s="1" t="str">
        <f>HYPERLINK("https://zfin.org/ZDB-GENE-040426-2224")</f>
        <v>https://zfin.org/ZDB-GENE-040426-2224</v>
      </c>
      <c r="K1970" t="s">
        <v>4629</v>
      </c>
    </row>
    <row r="1971" spans="1:11" x14ac:dyDescent="0.2">
      <c r="A1971">
        <v>5.4419625201713399E-34</v>
      </c>
      <c r="B1971">
        <v>0.90865490553726003</v>
      </c>
      <c r="C1971">
        <v>0.54300000000000004</v>
      </c>
      <c r="D1971">
        <v>0.113</v>
      </c>
      <c r="E1971">
        <v>8.4257905699812797E-30</v>
      </c>
      <c r="F1971">
        <v>3</v>
      </c>
      <c r="G1971" t="s">
        <v>4630</v>
      </c>
      <c r="H1971" t="s">
        <v>4631</v>
      </c>
      <c r="I1971" t="s">
        <v>4630</v>
      </c>
      <c r="J1971" s="1" t="str">
        <f>HYPERLINK("https://zfin.org/ZDB-GENE-041010-210")</f>
        <v>https://zfin.org/ZDB-GENE-041010-210</v>
      </c>
      <c r="K1971" t="s">
        <v>4632</v>
      </c>
    </row>
    <row r="1972" spans="1:11" x14ac:dyDescent="0.2">
      <c r="A1972">
        <v>8.5651998071770705E-34</v>
      </c>
      <c r="B1972">
        <v>0.554162324798952</v>
      </c>
      <c r="C1972">
        <v>0.18099999999999999</v>
      </c>
      <c r="D1972">
        <v>8.0000000000000002E-3</v>
      </c>
      <c r="E1972">
        <v>1.3261498861452299E-29</v>
      </c>
      <c r="F1972">
        <v>3</v>
      </c>
      <c r="G1972" t="s">
        <v>4633</v>
      </c>
      <c r="H1972" t="s">
        <v>4634</v>
      </c>
      <c r="I1972" t="s">
        <v>4633</v>
      </c>
      <c r="J1972" s="1" t="str">
        <f>HYPERLINK("https://zfin.org/ZDB-GENE-040801-30")</f>
        <v>https://zfin.org/ZDB-GENE-040801-30</v>
      </c>
      <c r="K1972" t="s">
        <v>4635</v>
      </c>
    </row>
    <row r="1973" spans="1:11" x14ac:dyDescent="0.2">
      <c r="A1973">
        <v>5.4997641877520299E-33</v>
      </c>
      <c r="B1973">
        <v>1.2066193399012699</v>
      </c>
      <c r="C1973">
        <v>0.95699999999999996</v>
      </c>
      <c r="D1973">
        <v>0.8</v>
      </c>
      <c r="E1973">
        <v>8.5152848918964696E-29</v>
      </c>
      <c r="F1973">
        <v>3</v>
      </c>
      <c r="G1973" t="s">
        <v>4636</v>
      </c>
      <c r="H1973" t="s">
        <v>4637</v>
      </c>
      <c r="I1973" t="s">
        <v>4636</v>
      </c>
      <c r="J1973" s="1" t="str">
        <f>HYPERLINK("https://zfin.org/ZDB-GENE-040426-1928")</f>
        <v>https://zfin.org/ZDB-GENE-040426-1928</v>
      </c>
      <c r="K1973" t="s">
        <v>4638</v>
      </c>
    </row>
    <row r="1974" spans="1:11" x14ac:dyDescent="0.2">
      <c r="A1974">
        <v>7.6336029736577302E-33</v>
      </c>
      <c r="B1974">
        <v>0.35430440408701902</v>
      </c>
      <c r="C1974">
        <v>0.14899999999999999</v>
      </c>
      <c r="D1974">
        <v>4.0000000000000001E-3</v>
      </c>
      <c r="E1974">
        <v>1.1819107484114301E-28</v>
      </c>
      <c r="F1974">
        <v>3</v>
      </c>
      <c r="G1974" t="s">
        <v>4639</v>
      </c>
      <c r="H1974" t="s">
        <v>4640</v>
      </c>
      <c r="I1974" t="s">
        <v>4639</v>
      </c>
      <c r="J1974" s="1" t="str">
        <f>HYPERLINK("https://zfin.org/ZDB-GENE-030616-151")</f>
        <v>https://zfin.org/ZDB-GENE-030616-151</v>
      </c>
      <c r="K1974" t="s">
        <v>4641</v>
      </c>
    </row>
    <row r="1975" spans="1:11" x14ac:dyDescent="0.2">
      <c r="A1975">
        <v>8.8995637719574107E-33</v>
      </c>
      <c r="B1975">
        <v>1.0437087397248599</v>
      </c>
      <c r="C1975">
        <v>0.57399999999999995</v>
      </c>
      <c r="D1975">
        <v>0.13700000000000001</v>
      </c>
      <c r="E1975">
        <v>1.37791945881217E-28</v>
      </c>
      <c r="F1975">
        <v>3</v>
      </c>
      <c r="G1975" t="s">
        <v>4642</v>
      </c>
      <c r="H1975" t="s">
        <v>4643</v>
      </c>
      <c r="I1975" t="s">
        <v>4642</v>
      </c>
      <c r="J1975" s="1" t="str">
        <f>HYPERLINK("https://zfin.org/ZDB-GENE-020416-1")</f>
        <v>https://zfin.org/ZDB-GENE-020416-1</v>
      </c>
      <c r="K1975" t="s">
        <v>4644</v>
      </c>
    </row>
    <row r="1976" spans="1:11" x14ac:dyDescent="0.2">
      <c r="A1976">
        <v>1.5750511052727899E-32</v>
      </c>
      <c r="B1976">
        <v>0.80853303676002597</v>
      </c>
      <c r="C1976">
        <v>0.309</v>
      </c>
      <c r="D1976">
        <v>3.4000000000000002E-2</v>
      </c>
      <c r="E1976">
        <v>2.4386516262938701E-28</v>
      </c>
      <c r="F1976">
        <v>3</v>
      </c>
      <c r="G1976" t="s">
        <v>4645</v>
      </c>
      <c r="H1976" t="s">
        <v>4646</v>
      </c>
      <c r="I1976" t="s">
        <v>4645</v>
      </c>
      <c r="J1976" s="1" t="str">
        <f>HYPERLINK("https://zfin.org/ZDB-GENE-030826-1")</f>
        <v>https://zfin.org/ZDB-GENE-030826-1</v>
      </c>
      <c r="K1976" t="s">
        <v>4647</v>
      </c>
    </row>
    <row r="1977" spans="1:11" x14ac:dyDescent="0.2">
      <c r="A1977">
        <v>1.63145571306152E-32</v>
      </c>
      <c r="B1977">
        <v>0.59503684549506897</v>
      </c>
      <c r="C1977">
        <v>0.33</v>
      </c>
      <c r="D1977">
        <v>3.9E-2</v>
      </c>
      <c r="E1977">
        <v>2.5259828805331501E-28</v>
      </c>
      <c r="F1977">
        <v>3</v>
      </c>
      <c r="G1977" t="s">
        <v>4648</v>
      </c>
      <c r="H1977" t="s">
        <v>4649</v>
      </c>
      <c r="I1977" t="s">
        <v>4648</v>
      </c>
      <c r="J1977" s="1" t="str">
        <f>HYPERLINK("https://zfin.org/ZDB-GENE-100922-200")</f>
        <v>https://zfin.org/ZDB-GENE-100922-200</v>
      </c>
      <c r="K1977" t="s">
        <v>4650</v>
      </c>
    </row>
    <row r="1978" spans="1:11" x14ac:dyDescent="0.2">
      <c r="A1978">
        <v>2.3737251523250101E-32</v>
      </c>
      <c r="B1978">
        <v>0.84270649368959305</v>
      </c>
      <c r="C1978">
        <v>0.223</v>
      </c>
      <c r="D1978">
        <v>1.4999999999999999E-2</v>
      </c>
      <c r="E1978">
        <v>3.6752386533448098E-28</v>
      </c>
      <c r="F1978">
        <v>3</v>
      </c>
      <c r="G1978" t="s">
        <v>4651</v>
      </c>
      <c r="H1978" t="s">
        <v>4652</v>
      </c>
      <c r="I1978" t="s">
        <v>4651</v>
      </c>
      <c r="J1978" s="1" t="str">
        <f>HYPERLINK("https://zfin.org/ZDB-GENE-040426-2044")</f>
        <v>https://zfin.org/ZDB-GENE-040426-2044</v>
      </c>
      <c r="K1978" t="s">
        <v>4653</v>
      </c>
    </row>
    <row r="1979" spans="1:11" x14ac:dyDescent="0.2">
      <c r="A1979">
        <v>5.7172447550419497E-32</v>
      </c>
      <c r="B1979">
        <v>0.93521721043084205</v>
      </c>
      <c r="C1979">
        <v>0.38300000000000001</v>
      </c>
      <c r="D1979">
        <v>5.7000000000000002E-2</v>
      </c>
      <c r="E1979">
        <v>8.8520100542314496E-28</v>
      </c>
      <c r="F1979">
        <v>3</v>
      </c>
      <c r="G1979" t="s">
        <v>4654</v>
      </c>
      <c r="H1979" t="s">
        <v>4655</v>
      </c>
      <c r="I1979" t="s">
        <v>4654</v>
      </c>
      <c r="J1979" s="1" t="str">
        <f>HYPERLINK("https://zfin.org/ZDB-GENE-040718-130")</f>
        <v>https://zfin.org/ZDB-GENE-040718-130</v>
      </c>
      <c r="K1979" t="s">
        <v>4656</v>
      </c>
    </row>
    <row r="1980" spans="1:11" x14ac:dyDescent="0.2">
      <c r="A1980">
        <v>6.1370037287500795E-32</v>
      </c>
      <c r="B1980">
        <v>0.477096095912384</v>
      </c>
      <c r="C1980">
        <v>0.23400000000000001</v>
      </c>
      <c r="D1980">
        <v>1.7999999999999999E-2</v>
      </c>
      <c r="E1980">
        <v>9.5019228732237408E-28</v>
      </c>
      <c r="F1980">
        <v>3</v>
      </c>
      <c r="G1980" t="s">
        <v>4657</v>
      </c>
      <c r="H1980" t="s">
        <v>4658</v>
      </c>
      <c r="I1980" t="s">
        <v>4657</v>
      </c>
      <c r="J1980" s="1" t="str">
        <f>HYPERLINK("https://zfin.org/ZDB-GENE-090313-204")</f>
        <v>https://zfin.org/ZDB-GENE-090313-204</v>
      </c>
      <c r="K1980" t="s">
        <v>4659</v>
      </c>
    </row>
    <row r="1981" spans="1:11" x14ac:dyDescent="0.2">
      <c r="A1981">
        <v>3.2035969652973099E-31</v>
      </c>
      <c r="B1981">
        <v>0.38390549977813399</v>
      </c>
      <c r="C1981">
        <v>0.14899999999999999</v>
      </c>
      <c r="D1981">
        <v>5.0000000000000001E-3</v>
      </c>
      <c r="E1981">
        <v>4.9601291813698198E-27</v>
      </c>
      <c r="F1981">
        <v>3</v>
      </c>
      <c r="G1981" t="s">
        <v>4660</v>
      </c>
      <c r="H1981" t="s">
        <v>4661</v>
      </c>
      <c r="I1981" t="s">
        <v>4660</v>
      </c>
      <c r="J1981" s="1" t="str">
        <f>HYPERLINK("https://zfin.org/ZDB-GENE-081104-340")</f>
        <v>https://zfin.org/ZDB-GENE-081104-340</v>
      </c>
      <c r="K1981" t="s">
        <v>4662</v>
      </c>
    </row>
    <row r="1982" spans="1:11" x14ac:dyDescent="0.2">
      <c r="A1982">
        <v>8.2940349992941005E-31</v>
      </c>
      <c r="B1982">
        <v>0.83495104949528998</v>
      </c>
      <c r="C1982">
        <v>0.29799999999999999</v>
      </c>
      <c r="D1982">
        <v>3.4000000000000002E-2</v>
      </c>
      <c r="E1982">
        <v>1.28416543894071E-26</v>
      </c>
      <c r="F1982">
        <v>3</v>
      </c>
      <c r="G1982" t="s">
        <v>4663</v>
      </c>
      <c r="H1982" t="s">
        <v>4664</v>
      </c>
      <c r="I1982" t="s">
        <v>4663</v>
      </c>
      <c r="J1982" s="1" t="str">
        <f>HYPERLINK("https://zfin.org/ZDB-GENE-020801-3")</f>
        <v>https://zfin.org/ZDB-GENE-020801-3</v>
      </c>
      <c r="K1982" t="s">
        <v>4665</v>
      </c>
    </row>
    <row r="1983" spans="1:11" x14ac:dyDescent="0.2">
      <c r="A1983">
        <v>6.6793242947235798E-30</v>
      </c>
      <c r="B1983">
        <v>0.65298065085533397</v>
      </c>
      <c r="C1983">
        <v>0.21299999999999999</v>
      </c>
      <c r="D1983">
        <v>1.4999999999999999E-2</v>
      </c>
      <c r="E1983">
        <v>1.0341597805520499E-25</v>
      </c>
      <c r="F1983">
        <v>3</v>
      </c>
      <c r="G1983" t="s">
        <v>4666</v>
      </c>
      <c r="H1983" t="s">
        <v>4667</v>
      </c>
      <c r="I1983" t="s">
        <v>4666</v>
      </c>
      <c r="J1983" s="1" t="str">
        <f>HYPERLINK("https://zfin.org/ZDB-GENE-050522-327")</f>
        <v>https://zfin.org/ZDB-GENE-050522-327</v>
      </c>
      <c r="K1983" t="s">
        <v>4668</v>
      </c>
    </row>
    <row r="1984" spans="1:11" x14ac:dyDescent="0.2">
      <c r="A1984">
        <v>7.1908210622987806E-30</v>
      </c>
      <c r="B1984">
        <v>0.48026662708741802</v>
      </c>
      <c r="C1984">
        <v>0.26600000000000001</v>
      </c>
      <c r="D1984">
        <v>2.5999999999999999E-2</v>
      </c>
      <c r="E1984">
        <v>1.1133548250757201E-25</v>
      </c>
      <c r="F1984">
        <v>3</v>
      </c>
      <c r="G1984" t="s">
        <v>4669</v>
      </c>
      <c r="H1984" t="s">
        <v>4670</v>
      </c>
      <c r="I1984" t="s">
        <v>4669</v>
      </c>
      <c r="J1984" s="1" t="str">
        <f>HYPERLINK("https://zfin.org/ZDB-GENE-990603-11")</f>
        <v>https://zfin.org/ZDB-GENE-990603-11</v>
      </c>
      <c r="K1984" t="s">
        <v>4671</v>
      </c>
    </row>
    <row r="1985" spans="1:11" x14ac:dyDescent="0.2">
      <c r="A1985">
        <v>7.3736607810314198E-30</v>
      </c>
      <c r="B1985">
        <v>0.38777344945765502</v>
      </c>
      <c r="C1985">
        <v>0.20200000000000001</v>
      </c>
      <c r="D1985">
        <v>1.2999999999999999E-2</v>
      </c>
      <c r="E1985">
        <v>1.14166389872709E-25</v>
      </c>
      <c r="F1985">
        <v>3</v>
      </c>
      <c r="G1985" t="s">
        <v>4672</v>
      </c>
      <c r="H1985" t="s">
        <v>4673</v>
      </c>
      <c r="I1985" t="s">
        <v>4672</v>
      </c>
      <c r="J1985" s="1" t="str">
        <f>HYPERLINK("https://zfin.org/ZDB-GENE-040930-6")</f>
        <v>https://zfin.org/ZDB-GENE-040930-6</v>
      </c>
      <c r="K1985" t="s">
        <v>4674</v>
      </c>
    </row>
    <row r="1986" spans="1:11" x14ac:dyDescent="0.2">
      <c r="A1986">
        <v>9.3152205650400996E-30</v>
      </c>
      <c r="B1986">
        <v>0.93929102598596004</v>
      </c>
      <c r="C1986">
        <v>0.94699999999999995</v>
      </c>
      <c r="D1986">
        <v>0.48599999999999999</v>
      </c>
      <c r="E1986">
        <v>1.4422756000851601E-25</v>
      </c>
      <c r="F1986">
        <v>3</v>
      </c>
      <c r="G1986" t="s">
        <v>3086</v>
      </c>
      <c r="H1986" t="s">
        <v>3087</v>
      </c>
      <c r="I1986" t="s">
        <v>3086</v>
      </c>
      <c r="J1986" s="1" t="str">
        <f>HYPERLINK("https://zfin.org/ZDB-GENE-030131-247")</f>
        <v>https://zfin.org/ZDB-GENE-030131-247</v>
      </c>
      <c r="K1986" t="s">
        <v>3088</v>
      </c>
    </row>
    <row r="1987" spans="1:11" x14ac:dyDescent="0.2">
      <c r="A1987">
        <v>1.3833453425237399E-29</v>
      </c>
      <c r="B1987">
        <v>0.34860576933127302</v>
      </c>
      <c r="C1987">
        <v>0.14899999999999999</v>
      </c>
      <c r="D1987">
        <v>6.0000000000000001E-3</v>
      </c>
      <c r="E1987">
        <v>2.1418335938295101E-25</v>
      </c>
      <c r="F1987">
        <v>3</v>
      </c>
      <c r="G1987" t="s">
        <v>4675</v>
      </c>
      <c r="H1987" t="s">
        <v>4676</v>
      </c>
      <c r="I1987" t="s">
        <v>4675</v>
      </c>
      <c r="J1987" s="1" t="str">
        <f>HYPERLINK("https://zfin.org/ZDB-GENE-040426-1545")</f>
        <v>https://zfin.org/ZDB-GENE-040426-1545</v>
      </c>
      <c r="K1987" t="s">
        <v>4677</v>
      </c>
    </row>
    <row r="1988" spans="1:11" x14ac:dyDescent="0.2">
      <c r="A1988">
        <v>1.4302699363901001E-29</v>
      </c>
      <c r="B1988">
        <v>0.40317824916721801</v>
      </c>
      <c r="C1988">
        <v>0.14899999999999999</v>
      </c>
      <c r="D1988">
        <v>6.0000000000000001E-3</v>
      </c>
      <c r="E1988">
        <v>2.2144869425128001E-25</v>
      </c>
      <c r="F1988">
        <v>3</v>
      </c>
      <c r="G1988" t="s">
        <v>4678</v>
      </c>
      <c r="H1988" t="s">
        <v>4679</v>
      </c>
      <c r="I1988" t="s">
        <v>4678</v>
      </c>
      <c r="J1988" s="1" t="str">
        <f>HYPERLINK("https://zfin.org/ZDB-GENE-030131-6252")</f>
        <v>https://zfin.org/ZDB-GENE-030131-6252</v>
      </c>
      <c r="K1988" t="s">
        <v>4680</v>
      </c>
    </row>
    <row r="1989" spans="1:11" x14ac:dyDescent="0.2">
      <c r="A1989">
        <v>1.48018840061197E-29</v>
      </c>
      <c r="B1989">
        <v>0.383506826831435</v>
      </c>
      <c r="C1989">
        <v>0.17</v>
      </c>
      <c r="D1989">
        <v>8.0000000000000002E-3</v>
      </c>
      <c r="E1989">
        <v>2.2917757006675202E-25</v>
      </c>
      <c r="F1989">
        <v>3</v>
      </c>
      <c r="G1989" t="s">
        <v>4681</v>
      </c>
      <c r="H1989" t="s">
        <v>4682</v>
      </c>
      <c r="I1989" t="s">
        <v>4681</v>
      </c>
      <c r="J1989" s="1" t="str">
        <f>HYPERLINK("https://zfin.org/ZDB-GENE-050622-16")</f>
        <v>https://zfin.org/ZDB-GENE-050622-16</v>
      </c>
      <c r="K1989" t="s">
        <v>4683</v>
      </c>
    </row>
    <row r="1990" spans="1:11" x14ac:dyDescent="0.2">
      <c r="A1990">
        <v>1.6126420448453099E-29</v>
      </c>
      <c r="B1990">
        <v>0.39993223471214701</v>
      </c>
      <c r="C1990">
        <v>0.14899999999999999</v>
      </c>
      <c r="D1990">
        <v>6.0000000000000001E-3</v>
      </c>
      <c r="E1990">
        <v>2.4968536780339898E-25</v>
      </c>
      <c r="F1990">
        <v>3</v>
      </c>
      <c r="G1990" t="s">
        <v>4684</v>
      </c>
      <c r="H1990" t="s">
        <v>4685</v>
      </c>
      <c r="I1990" t="s">
        <v>4684</v>
      </c>
      <c r="J1990" s="1" t="str">
        <f>HYPERLINK("https://zfin.org/ZDB-GENE-041114-18")</f>
        <v>https://zfin.org/ZDB-GENE-041114-18</v>
      </c>
      <c r="K1990" t="s">
        <v>4686</v>
      </c>
    </row>
    <row r="1991" spans="1:11" x14ac:dyDescent="0.2">
      <c r="A1991">
        <v>1.98274701402945E-29</v>
      </c>
      <c r="B1991">
        <v>0.36208085012889202</v>
      </c>
      <c r="C1991">
        <v>0.16</v>
      </c>
      <c r="D1991">
        <v>7.0000000000000001E-3</v>
      </c>
      <c r="E1991">
        <v>3.0698872018217998E-25</v>
      </c>
      <c r="F1991">
        <v>3</v>
      </c>
      <c r="G1991" t="s">
        <v>4687</v>
      </c>
      <c r="H1991" t="s">
        <v>4688</v>
      </c>
      <c r="I1991" t="s">
        <v>4687</v>
      </c>
      <c r="J1991" s="1" t="str">
        <f>HYPERLINK("https://zfin.org/ZDB-GENE-040801-74")</f>
        <v>https://zfin.org/ZDB-GENE-040801-74</v>
      </c>
      <c r="K1991" t="s">
        <v>4689</v>
      </c>
    </row>
    <row r="1992" spans="1:11" x14ac:dyDescent="0.2">
      <c r="A1992">
        <v>1.9956171277319399E-29</v>
      </c>
      <c r="B1992">
        <v>0.48736955847783903</v>
      </c>
      <c r="C1992">
        <v>0.14899999999999999</v>
      </c>
      <c r="D1992">
        <v>6.0000000000000001E-3</v>
      </c>
      <c r="E1992">
        <v>3.0898139988673601E-25</v>
      </c>
      <c r="F1992">
        <v>3</v>
      </c>
      <c r="G1992" t="s">
        <v>4690</v>
      </c>
      <c r="H1992" t="s">
        <v>4691</v>
      </c>
      <c r="I1992" t="s">
        <v>4690</v>
      </c>
      <c r="J1992" s="1" t="str">
        <f>HYPERLINK("https://zfin.org/ZDB-GENE-050626-82")</f>
        <v>https://zfin.org/ZDB-GENE-050626-82</v>
      </c>
      <c r="K1992" t="s">
        <v>4692</v>
      </c>
    </row>
    <row r="1993" spans="1:11" x14ac:dyDescent="0.2">
      <c r="A1993">
        <v>3.0865191672426101E-29</v>
      </c>
      <c r="B1993">
        <v>0.50311946720085399</v>
      </c>
      <c r="C1993">
        <v>0.255</v>
      </c>
      <c r="D1993">
        <v>2.5000000000000001E-2</v>
      </c>
      <c r="E1993">
        <v>4.7788576266417399E-25</v>
      </c>
      <c r="F1993">
        <v>3</v>
      </c>
      <c r="G1993" t="s">
        <v>4693</v>
      </c>
      <c r="H1993" t="s">
        <v>4694</v>
      </c>
      <c r="I1993" t="s">
        <v>4693</v>
      </c>
      <c r="J1993" s="1" t="str">
        <f>HYPERLINK("https://zfin.org/ZDB-GENE-041010-184")</f>
        <v>https://zfin.org/ZDB-GENE-041010-184</v>
      </c>
      <c r="K1993" t="s">
        <v>4695</v>
      </c>
    </row>
    <row r="1994" spans="1:11" x14ac:dyDescent="0.2">
      <c r="A1994">
        <v>4.1939289281739299E-29</v>
      </c>
      <c r="B1994">
        <v>0.40629353625034098</v>
      </c>
      <c r="C1994">
        <v>0.23400000000000001</v>
      </c>
      <c r="D1994">
        <v>0.02</v>
      </c>
      <c r="E1994">
        <v>6.4934601594917002E-25</v>
      </c>
      <c r="F1994">
        <v>3</v>
      </c>
      <c r="G1994" t="s">
        <v>4696</v>
      </c>
      <c r="H1994" t="s">
        <v>4697</v>
      </c>
      <c r="I1994" t="s">
        <v>4696</v>
      </c>
      <c r="J1994" s="1" t="str">
        <f>HYPERLINK("https://zfin.org/ZDB-GENE-070912-20")</f>
        <v>https://zfin.org/ZDB-GENE-070912-20</v>
      </c>
      <c r="K1994" t="s">
        <v>4698</v>
      </c>
    </row>
    <row r="1995" spans="1:11" x14ac:dyDescent="0.2">
      <c r="A1995">
        <v>4.2995716257479101E-29</v>
      </c>
      <c r="B1995">
        <v>0.75875201317381302</v>
      </c>
      <c r="C1995">
        <v>0.40400000000000003</v>
      </c>
      <c r="D1995">
        <v>6.9000000000000006E-2</v>
      </c>
      <c r="E1995">
        <v>6.6570267481454896E-25</v>
      </c>
      <c r="F1995">
        <v>3</v>
      </c>
      <c r="G1995" t="s">
        <v>4699</v>
      </c>
      <c r="H1995" t="s">
        <v>4700</v>
      </c>
      <c r="I1995" t="s">
        <v>4699</v>
      </c>
      <c r="J1995" s="1" t="str">
        <f>HYPERLINK("https://zfin.org/ZDB-GENE-080204-34")</f>
        <v>https://zfin.org/ZDB-GENE-080204-34</v>
      </c>
      <c r="K1995" t="s">
        <v>4701</v>
      </c>
    </row>
    <row r="1996" spans="1:11" x14ac:dyDescent="0.2">
      <c r="A1996">
        <v>1.06152599957973E-28</v>
      </c>
      <c r="B1996">
        <v>0.67880253951771397</v>
      </c>
      <c r="C1996">
        <v>0.36199999999999999</v>
      </c>
      <c r="D1996">
        <v>5.5E-2</v>
      </c>
      <c r="E1996">
        <v>1.64356070514929E-24</v>
      </c>
      <c r="F1996">
        <v>3</v>
      </c>
      <c r="G1996" t="s">
        <v>4702</v>
      </c>
      <c r="H1996" t="s">
        <v>4703</v>
      </c>
      <c r="I1996" t="s">
        <v>4702</v>
      </c>
      <c r="J1996" s="1" t="str">
        <f>HYPERLINK("https://zfin.org/ZDB-GENE-020809-3")</f>
        <v>https://zfin.org/ZDB-GENE-020809-3</v>
      </c>
      <c r="K1996" t="s">
        <v>4704</v>
      </c>
    </row>
    <row r="1997" spans="1:11" x14ac:dyDescent="0.2">
      <c r="A1997">
        <v>1.26193653324326E-28</v>
      </c>
      <c r="B1997">
        <v>0.39619861046126598</v>
      </c>
      <c r="C1997">
        <v>0.128</v>
      </c>
      <c r="D1997">
        <v>4.0000000000000001E-3</v>
      </c>
      <c r="E1997">
        <v>1.9538563344205399E-24</v>
      </c>
      <c r="F1997">
        <v>3</v>
      </c>
      <c r="G1997" t="s">
        <v>4705</v>
      </c>
      <c r="H1997" t="s">
        <v>4706</v>
      </c>
      <c r="I1997" t="s">
        <v>4705</v>
      </c>
      <c r="J1997" s="1" t="str">
        <f>HYPERLINK("https://zfin.org/ZDB-GENE-041111-213")</f>
        <v>https://zfin.org/ZDB-GENE-041111-213</v>
      </c>
      <c r="K1997" t="s">
        <v>4707</v>
      </c>
    </row>
    <row r="1998" spans="1:11" x14ac:dyDescent="0.2">
      <c r="A1998">
        <v>1.53135054160233E-28</v>
      </c>
      <c r="B1998">
        <v>0.26518613217364601</v>
      </c>
      <c r="C1998">
        <v>0.128</v>
      </c>
      <c r="D1998">
        <v>4.0000000000000001E-3</v>
      </c>
      <c r="E1998">
        <v>2.3709900435628901E-24</v>
      </c>
      <c r="F1998">
        <v>3</v>
      </c>
      <c r="G1998" t="s">
        <v>4708</v>
      </c>
      <c r="H1998" t="s">
        <v>4709</v>
      </c>
      <c r="I1998" t="s">
        <v>4708</v>
      </c>
      <c r="J1998" s="1" t="str">
        <f>HYPERLINK("https://zfin.org/ZDB-GENE-100917-1")</f>
        <v>https://zfin.org/ZDB-GENE-100917-1</v>
      </c>
      <c r="K1998" t="s">
        <v>4710</v>
      </c>
    </row>
    <row r="1999" spans="1:11" x14ac:dyDescent="0.2">
      <c r="A1999">
        <v>2.26502419894397E-28</v>
      </c>
      <c r="B1999">
        <v>0.41185361204290599</v>
      </c>
      <c r="C1999">
        <v>0.191</v>
      </c>
      <c r="D1999">
        <v>1.2999999999999999E-2</v>
      </c>
      <c r="E1999">
        <v>3.5069369672249498E-24</v>
      </c>
      <c r="F1999">
        <v>3</v>
      </c>
      <c r="G1999" t="s">
        <v>4711</v>
      </c>
      <c r="H1999" t="s">
        <v>4712</v>
      </c>
      <c r="I1999" t="s">
        <v>4711</v>
      </c>
      <c r="J1999" s="1" t="str">
        <f>HYPERLINK("https://zfin.org/ZDB-GENE-041014-362")</f>
        <v>https://zfin.org/ZDB-GENE-041014-362</v>
      </c>
      <c r="K1999" t="s">
        <v>4713</v>
      </c>
    </row>
    <row r="2000" spans="1:11" x14ac:dyDescent="0.2">
      <c r="A2000">
        <v>4.9437312403522401E-28</v>
      </c>
      <c r="B2000">
        <v>0.38496884583357799</v>
      </c>
      <c r="C2000">
        <v>0.14899999999999999</v>
      </c>
      <c r="D2000">
        <v>6.0000000000000001E-3</v>
      </c>
      <c r="E2000">
        <v>7.6543790794373705E-24</v>
      </c>
      <c r="F2000">
        <v>3</v>
      </c>
      <c r="G2000" t="s">
        <v>4714</v>
      </c>
      <c r="H2000" t="s">
        <v>4715</v>
      </c>
      <c r="I2000" t="s">
        <v>4714</v>
      </c>
      <c r="J2000" s="1" t="str">
        <f>HYPERLINK("https://zfin.org/ZDB-GENE-121214-99")</f>
        <v>https://zfin.org/ZDB-GENE-121214-99</v>
      </c>
      <c r="K2000" t="s">
        <v>4716</v>
      </c>
    </row>
    <row r="2001" spans="1:11" x14ac:dyDescent="0.2">
      <c r="A2001">
        <v>6.5288519071628998E-28</v>
      </c>
      <c r="B2001">
        <v>0.88142493396587396</v>
      </c>
      <c r="C2001">
        <v>0.372</v>
      </c>
      <c r="D2001">
        <v>6.2E-2</v>
      </c>
      <c r="E2001">
        <v>1.01086214078603E-23</v>
      </c>
      <c r="F2001">
        <v>3</v>
      </c>
      <c r="G2001" t="s">
        <v>4717</v>
      </c>
      <c r="H2001" t="s">
        <v>4718</v>
      </c>
      <c r="I2001" t="s">
        <v>4717</v>
      </c>
      <c r="J2001" s="1" t="str">
        <f>HYPERLINK("https://zfin.org/ZDB-GENE-030131-5753")</f>
        <v>https://zfin.org/ZDB-GENE-030131-5753</v>
      </c>
      <c r="K2001" t="s">
        <v>4719</v>
      </c>
    </row>
    <row r="2002" spans="1:11" x14ac:dyDescent="0.2">
      <c r="A2002">
        <v>7.0867853290697397E-28</v>
      </c>
      <c r="B2002">
        <v>0.33113849092967201</v>
      </c>
      <c r="C2002">
        <v>0.18099999999999999</v>
      </c>
      <c r="D2002">
        <v>1.0999999999999999E-2</v>
      </c>
      <c r="E2002">
        <v>1.09724697249987E-23</v>
      </c>
      <c r="F2002">
        <v>3</v>
      </c>
      <c r="G2002" t="s">
        <v>4720</v>
      </c>
      <c r="H2002" t="s">
        <v>4721</v>
      </c>
      <c r="I2002" t="s">
        <v>4720</v>
      </c>
      <c r="J2002" s="1" t="str">
        <f>HYPERLINK("https://zfin.org/ZDB-GENE-130531-63")</f>
        <v>https://zfin.org/ZDB-GENE-130531-63</v>
      </c>
      <c r="K2002" t="s">
        <v>4722</v>
      </c>
    </row>
    <row r="2003" spans="1:11" x14ac:dyDescent="0.2">
      <c r="A2003">
        <v>8.0609907901124799E-28</v>
      </c>
      <c r="B2003">
        <v>0.39732517863969002</v>
      </c>
      <c r="C2003">
        <v>0.223</v>
      </c>
      <c r="D2003">
        <v>1.9E-2</v>
      </c>
      <c r="E2003">
        <v>1.24808320403311E-23</v>
      </c>
      <c r="F2003">
        <v>3</v>
      </c>
      <c r="G2003" t="s">
        <v>4723</v>
      </c>
      <c r="H2003" t="s">
        <v>4724</v>
      </c>
      <c r="I2003" t="s">
        <v>4723</v>
      </c>
      <c r="J2003" s="1" t="str">
        <f>HYPERLINK("https://zfin.org/ZDB-GENE-080723-52")</f>
        <v>https://zfin.org/ZDB-GENE-080723-52</v>
      </c>
      <c r="K2003" t="s">
        <v>4725</v>
      </c>
    </row>
    <row r="2004" spans="1:11" x14ac:dyDescent="0.2">
      <c r="A2004">
        <v>9.6486207896898396E-28</v>
      </c>
      <c r="B2004">
        <v>0.42197735704718697</v>
      </c>
      <c r="C2004">
        <v>0.28699999999999998</v>
      </c>
      <c r="D2004">
        <v>3.4000000000000002E-2</v>
      </c>
      <c r="E2004">
        <v>1.4938959568676799E-23</v>
      </c>
      <c r="F2004">
        <v>3</v>
      </c>
      <c r="G2004" t="s">
        <v>4726</v>
      </c>
      <c r="H2004" t="s">
        <v>4727</v>
      </c>
      <c r="I2004" t="s">
        <v>4726</v>
      </c>
      <c r="J2004" s="1" t="str">
        <f>HYPERLINK("https://zfin.org/ZDB-GENE-040718-363")</f>
        <v>https://zfin.org/ZDB-GENE-040718-363</v>
      </c>
      <c r="K2004" t="s">
        <v>4728</v>
      </c>
    </row>
    <row r="2005" spans="1:11" x14ac:dyDescent="0.2">
      <c r="A2005">
        <v>1.61039955379068E-27</v>
      </c>
      <c r="B2005">
        <v>0.42840276600672</v>
      </c>
      <c r="C2005">
        <v>0.223</v>
      </c>
      <c r="D2005">
        <v>0.02</v>
      </c>
      <c r="E2005">
        <v>2.4933816291341099E-23</v>
      </c>
      <c r="F2005">
        <v>3</v>
      </c>
      <c r="G2005" t="s">
        <v>4729</v>
      </c>
      <c r="H2005" t="s">
        <v>4730</v>
      </c>
      <c r="I2005" t="s">
        <v>4729</v>
      </c>
      <c r="J2005" s="1" t="str">
        <f>HYPERLINK("https://zfin.org/ZDB-GENE-020419-16")</f>
        <v>https://zfin.org/ZDB-GENE-020419-16</v>
      </c>
      <c r="K2005" t="s">
        <v>4731</v>
      </c>
    </row>
    <row r="2006" spans="1:11" x14ac:dyDescent="0.2">
      <c r="A2006">
        <v>2.1776894452053801E-27</v>
      </c>
      <c r="B2006">
        <v>1.1062331012628801</v>
      </c>
      <c r="C2006">
        <v>0.93600000000000005</v>
      </c>
      <c r="D2006">
        <v>0.71299999999999997</v>
      </c>
      <c r="E2006">
        <v>3.37171656801149E-23</v>
      </c>
      <c r="F2006">
        <v>3</v>
      </c>
      <c r="G2006" t="s">
        <v>4732</v>
      </c>
      <c r="H2006" t="s">
        <v>4733</v>
      </c>
      <c r="I2006" t="s">
        <v>4732</v>
      </c>
      <c r="J2006" s="1" t="str">
        <f>HYPERLINK("https://zfin.org/ZDB-GENE-131120-172")</f>
        <v>https://zfin.org/ZDB-GENE-131120-172</v>
      </c>
      <c r="K2006" t="s">
        <v>4734</v>
      </c>
    </row>
    <row r="2007" spans="1:11" x14ac:dyDescent="0.2">
      <c r="A2007">
        <v>2.2905986949499101E-27</v>
      </c>
      <c r="B2007">
        <v>0.51711991873615104</v>
      </c>
      <c r="C2007">
        <v>0.17</v>
      </c>
      <c r="D2007">
        <v>0.01</v>
      </c>
      <c r="E2007">
        <v>3.5465339593909502E-23</v>
      </c>
      <c r="F2007">
        <v>3</v>
      </c>
      <c r="G2007" t="s">
        <v>4735</v>
      </c>
      <c r="H2007" t="s">
        <v>4736</v>
      </c>
      <c r="I2007" t="s">
        <v>4735</v>
      </c>
      <c r="J2007" s="1" t="str">
        <f>HYPERLINK("https://zfin.org/ZDB-GENE-030131-9689")</f>
        <v>https://zfin.org/ZDB-GENE-030131-9689</v>
      </c>
      <c r="K2007" t="s">
        <v>4737</v>
      </c>
    </row>
    <row r="2008" spans="1:11" x14ac:dyDescent="0.2">
      <c r="A2008">
        <v>2.6386598874617199E-27</v>
      </c>
      <c r="B2008">
        <v>0.87665465555962996</v>
      </c>
      <c r="C2008">
        <v>0.372</v>
      </c>
      <c r="D2008">
        <v>6.2E-2</v>
      </c>
      <c r="E2008">
        <v>4.08543710375698E-23</v>
      </c>
      <c r="F2008">
        <v>3</v>
      </c>
      <c r="G2008" t="s">
        <v>4738</v>
      </c>
      <c r="H2008" t="s">
        <v>4739</v>
      </c>
      <c r="I2008" t="s">
        <v>4738</v>
      </c>
      <c r="J2008" s="1" t="str">
        <f>HYPERLINK("https://zfin.org/ZDB-GENE-020419-4")</f>
        <v>https://zfin.org/ZDB-GENE-020419-4</v>
      </c>
      <c r="K2008" t="s">
        <v>4740</v>
      </c>
    </row>
    <row r="2009" spans="1:11" x14ac:dyDescent="0.2">
      <c r="A2009">
        <v>3.43894732433432E-27</v>
      </c>
      <c r="B2009">
        <v>0.41627395105307502</v>
      </c>
      <c r="C2009">
        <v>0.16</v>
      </c>
      <c r="D2009">
        <v>8.0000000000000002E-3</v>
      </c>
      <c r="E2009">
        <v>5.3245221422668301E-23</v>
      </c>
      <c r="F2009">
        <v>3</v>
      </c>
      <c r="G2009" t="s">
        <v>4741</v>
      </c>
      <c r="H2009" t="s">
        <v>4742</v>
      </c>
      <c r="I2009" t="s">
        <v>4741</v>
      </c>
      <c r="J2009" s="1" t="str">
        <f>HYPERLINK("https://zfin.org/ZDB-GENE-041010-225")</f>
        <v>https://zfin.org/ZDB-GENE-041010-225</v>
      </c>
      <c r="K2009" t="s">
        <v>4743</v>
      </c>
    </row>
    <row r="2010" spans="1:11" x14ac:dyDescent="0.2">
      <c r="A2010">
        <v>5.8317907665313001E-27</v>
      </c>
      <c r="B2010">
        <v>0.86326391345248799</v>
      </c>
      <c r="C2010">
        <v>0.191</v>
      </c>
      <c r="D2010">
        <v>1.4E-2</v>
      </c>
      <c r="E2010">
        <v>9.0293616438204099E-23</v>
      </c>
      <c r="F2010">
        <v>3</v>
      </c>
      <c r="G2010" t="s">
        <v>4744</v>
      </c>
      <c r="H2010" t="s">
        <v>4745</v>
      </c>
      <c r="I2010" t="s">
        <v>4744</v>
      </c>
      <c r="J2010" s="1" t="str">
        <f>HYPERLINK("https://zfin.org/ZDB-GENE-050208-620")</f>
        <v>https://zfin.org/ZDB-GENE-050208-620</v>
      </c>
      <c r="K2010" t="s">
        <v>4746</v>
      </c>
    </row>
    <row r="2011" spans="1:11" x14ac:dyDescent="0.2">
      <c r="A2011">
        <v>6.5930766853544206E-27</v>
      </c>
      <c r="B2011">
        <v>0.80127681645086302</v>
      </c>
      <c r="C2011">
        <v>0.21299999999999999</v>
      </c>
      <c r="D2011">
        <v>1.7999999999999999E-2</v>
      </c>
      <c r="E2011">
        <v>1.02080606319342E-22</v>
      </c>
      <c r="F2011">
        <v>3</v>
      </c>
      <c r="G2011" t="s">
        <v>4747</v>
      </c>
      <c r="H2011" t="s">
        <v>4748</v>
      </c>
      <c r="I2011" t="s">
        <v>4747</v>
      </c>
      <c r="J2011" s="1" t="str">
        <f>HYPERLINK("https://zfin.org/ZDB-GENE-000406-10")</f>
        <v>https://zfin.org/ZDB-GENE-000406-10</v>
      </c>
      <c r="K2011" t="s">
        <v>4749</v>
      </c>
    </row>
    <row r="2012" spans="1:11" x14ac:dyDescent="0.2">
      <c r="A2012">
        <v>9.1496666431335098E-27</v>
      </c>
      <c r="B2012">
        <v>0.66472385779521803</v>
      </c>
      <c r="C2012">
        <v>0.46800000000000003</v>
      </c>
      <c r="D2012">
        <v>9.7000000000000003E-2</v>
      </c>
      <c r="E2012">
        <v>1.4166428863563601E-22</v>
      </c>
      <c r="F2012">
        <v>3</v>
      </c>
      <c r="G2012" t="s">
        <v>4750</v>
      </c>
      <c r="H2012" t="s">
        <v>4751</v>
      </c>
      <c r="I2012" t="s">
        <v>4750</v>
      </c>
      <c r="J2012" s="1" t="str">
        <f>HYPERLINK("https://zfin.org/ZDB-GENE-040426-2741")</f>
        <v>https://zfin.org/ZDB-GENE-040426-2741</v>
      </c>
      <c r="K2012" t="s">
        <v>4752</v>
      </c>
    </row>
    <row r="2013" spans="1:11" x14ac:dyDescent="0.2">
      <c r="A2013">
        <v>1.0840395377641801E-26</v>
      </c>
      <c r="B2013">
        <v>0.341854851430344</v>
      </c>
      <c r="C2013">
        <v>0.14899999999999999</v>
      </c>
      <c r="D2013">
        <v>7.0000000000000001E-3</v>
      </c>
      <c r="E2013">
        <v>1.67841841632029E-22</v>
      </c>
      <c r="F2013">
        <v>3</v>
      </c>
      <c r="G2013" t="s">
        <v>4753</v>
      </c>
      <c r="H2013" t="s">
        <v>4754</v>
      </c>
      <c r="I2013" t="s">
        <v>4753</v>
      </c>
      <c r="J2013" s="1" t="str">
        <f>HYPERLINK("https://zfin.org/ZDB-GENE-040426-862")</f>
        <v>https://zfin.org/ZDB-GENE-040426-862</v>
      </c>
      <c r="K2013" t="s">
        <v>4755</v>
      </c>
    </row>
    <row r="2014" spans="1:11" x14ac:dyDescent="0.2">
      <c r="A2014">
        <v>1.66399268571369E-26</v>
      </c>
      <c r="B2014">
        <v>0.50014531283118502</v>
      </c>
      <c r="C2014">
        <v>0.21299999999999999</v>
      </c>
      <c r="D2014">
        <v>1.7999999999999999E-2</v>
      </c>
      <c r="E2014">
        <v>2.5763598752905102E-22</v>
      </c>
      <c r="F2014">
        <v>3</v>
      </c>
      <c r="G2014" t="s">
        <v>4756</v>
      </c>
      <c r="H2014" t="s">
        <v>4757</v>
      </c>
      <c r="I2014" t="s">
        <v>4756</v>
      </c>
      <c r="J2014" s="1" t="str">
        <f>HYPERLINK("https://zfin.org/ZDB-GENE-030114-9")</f>
        <v>https://zfin.org/ZDB-GENE-030114-9</v>
      </c>
      <c r="K2014" t="s">
        <v>4758</v>
      </c>
    </row>
    <row r="2015" spans="1:11" x14ac:dyDescent="0.2">
      <c r="A2015">
        <v>1.7153710211832499E-26</v>
      </c>
      <c r="B2015">
        <v>0.66171594699883796</v>
      </c>
      <c r="C2015">
        <v>0.372</v>
      </c>
      <c r="D2015">
        <v>6.3E-2</v>
      </c>
      <c r="E2015">
        <v>2.6559089520980301E-22</v>
      </c>
      <c r="F2015">
        <v>3</v>
      </c>
      <c r="G2015" t="s">
        <v>4759</v>
      </c>
      <c r="H2015" t="s">
        <v>4760</v>
      </c>
      <c r="I2015" t="s">
        <v>4759</v>
      </c>
      <c r="J2015" s="1" t="str">
        <f>HYPERLINK("https://zfin.org/ZDB-GENE-030131-2469")</f>
        <v>https://zfin.org/ZDB-GENE-030131-2469</v>
      </c>
      <c r="K2015" t="s">
        <v>4761</v>
      </c>
    </row>
    <row r="2016" spans="1:11" x14ac:dyDescent="0.2">
      <c r="A2016">
        <v>1.7765958237326E-26</v>
      </c>
      <c r="B2016">
        <v>0.80811574036465905</v>
      </c>
      <c r="C2016">
        <v>0.5</v>
      </c>
      <c r="D2016">
        <v>0.11600000000000001</v>
      </c>
      <c r="E2016">
        <v>2.7507033138851802E-22</v>
      </c>
      <c r="F2016">
        <v>3</v>
      </c>
      <c r="G2016" t="s">
        <v>4762</v>
      </c>
      <c r="H2016" t="s">
        <v>4763</v>
      </c>
      <c r="I2016" t="s">
        <v>4762</v>
      </c>
      <c r="J2016" s="1" t="str">
        <f>HYPERLINK("https://zfin.org/ZDB-GENE-040426-2594")</f>
        <v>https://zfin.org/ZDB-GENE-040426-2594</v>
      </c>
      <c r="K2016" t="s">
        <v>4764</v>
      </c>
    </row>
    <row r="2017" spans="1:11" x14ac:dyDescent="0.2">
      <c r="A2017">
        <v>1.8487685263141299E-26</v>
      </c>
      <c r="B2017">
        <v>0.86530480870154802</v>
      </c>
      <c r="C2017">
        <v>0.5</v>
      </c>
      <c r="D2017">
        <v>0.12</v>
      </c>
      <c r="E2017">
        <v>2.8624483092921698E-22</v>
      </c>
      <c r="F2017">
        <v>3</v>
      </c>
      <c r="G2017" t="s">
        <v>4765</v>
      </c>
      <c r="H2017" t="s">
        <v>4766</v>
      </c>
      <c r="I2017" t="s">
        <v>4765</v>
      </c>
      <c r="J2017" s="1" t="str">
        <f>HYPERLINK("https://zfin.org/ZDB-GENE-030912-3")</f>
        <v>https://zfin.org/ZDB-GENE-030912-3</v>
      </c>
      <c r="K2017" t="s">
        <v>4767</v>
      </c>
    </row>
    <row r="2018" spans="1:11" x14ac:dyDescent="0.2">
      <c r="A2018">
        <v>2.3536918320315199E-26</v>
      </c>
      <c r="B2018">
        <v>0.406079801129624</v>
      </c>
      <c r="C2018">
        <v>0.17</v>
      </c>
      <c r="D2018">
        <v>1.0999999999999999E-2</v>
      </c>
      <c r="E2018">
        <v>3.6442210635344098E-22</v>
      </c>
      <c r="F2018">
        <v>3</v>
      </c>
      <c r="G2018" t="s">
        <v>4768</v>
      </c>
      <c r="H2018" t="s">
        <v>4769</v>
      </c>
      <c r="I2018" t="s">
        <v>4768</v>
      </c>
      <c r="J2018" s="1" t="str">
        <f>HYPERLINK("https://zfin.org/ZDB-GENE-030131-5420")</f>
        <v>https://zfin.org/ZDB-GENE-030131-5420</v>
      </c>
      <c r="K2018" t="s">
        <v>4770</v>
      </c>
    </row>
    <row r="2019" spans="1:11" x14ac:dyDescent="0.2">
      <c r="A2019">
        <v>3.15544927032695E-26</v>
      </c>
      <c r="B2019">
        <v>0.731052059042686</v>
      </c>
      <c r="C2019">
        <v>0.26600000000000001</v>
      </c>
      <c r="D2019">
        <v>3.2000000000000001E-2</v>
      </c>
      <c r="E2019">
        <v>4.8855821052472099E-22</v>
      </c>
      <c r="F2019">
        <v>3</v>
      </c>
      <c r="G2019" t="s">
        <v>4771</v>
      </c>
      <c r="H2019" t="s">
        <v>4772</v>
      </c>
      <c r="I2019" t="s">
        <v>4771</v>
      </c>
      <c r="J2019" s="1" t="str">
        <f>HYPERLINK("https://zfin.org/ZDB-GENE-050417-29")</f>
        <v>https://zfin.org/ZDB-GENE-050417-29</v>
      </c>
      <c r="K2019" t="s">
        <v>4773</v>
      </c>
    </row>
    <row r="2020" spans="1:11" x14ac:dyDescent="0.2">
      <c r="A2020">
        <v>3.2387938567386298E-26</v>
      </c>
      <c r="B2020">
        <v>0.89213373763401105</v>
      </c>
      <c r="C2020">
        <v>0.86199999999999999</v>
      </c>
      <c r="D2020">
        <v>0.40699999999999997</v>
      </c>
      <c r="E2020">
        <v>5.0146245283884099E-22</v>
      </c>
      <c r="F2020">
        <v>3</v>
      </c>
      <c r="G2020" t="s">
        <v>4774</v>
      </c>
      <c r="H2020" t="s">
        <v>4775</v>
      </c>
      <c r="I2020" t="s">
        <v>4774</v>
      </c>
      <c r="J2020" s="1" t="str">
        <f>HYPERLINK("https://zfin.org/ZDB-GENE-020419-14")</f>
        <v>https://zfin.org/ZDB-GENE-020419-14</v>
      </c>
      <c r="K2020" t="s">
        <v>4776</v>
      </c>
    </row>
    <row r="2021" spans="1:11" x14ac:dyDescent="0.2">
      <c r="A2021">
        <v>3.89269749953182E-26</v>
      </c>
      <c r="B2021">
        <v>0.401936577047524</v>
      </c>
      <c r="C2021">
        <v>0.23400000000000001</v>
      </c>
      <c r="D2021">
        <v>2.3E-2</v>
      </c>
      <c r="E2021">
        <v>6.02706353852511E-22</v>
      </c>
      <c r="F2021">
        <v>3</v>
      </c>
      <c r="G2021" t="s">
        <v>4777</v>
      </c>
      <c r="H2021" t="s">
        <v>4778</v>
      </c>
      <c r="I2021" t="s">
        <v>4777</v>
      </c>
      <c r="J2021" s="1" t="str">
        <f>HYPERLINK("https://zfin.org/ZDB-GENE-990714-15")</f>
        <v>https://zfin.org/ZDB-GENE-990714-15</v>
      </c>
      <c r="K2021" t="s">
        <v>4779</v>
      </c>
    </row>
    <row r="2022" spans="1:11" x14ac:dyDescent="0.2">
      <c r="A2022">
        <v>5.9221877611630698E-26</v>
      </c>
      <c r="B2022">
        <v>0.39832974447735697</v>
      </c>
      <c r="C2022">
        <v>0.16</v>
      </c>
      <c r="D2022">
        <v>8.9999999999999993E-3</v>
      </c>
      <c r="E2022">
        <v>9.1693233106087907E-22</v>
      </c>
      <c r="F2022">
        <v>3</v>
      </c>
      <c r="G2022" t="s">
        <v>4780</v>
      </c>
      <c r="H2022" t="s">
        <v>4781</v>
      </c>
      <c r="I2022" t="s">
        <v>4780</v>
      </c>
      <c r="J2022" s="1" t="str">
        <f>HYPERLINK("https://zfin.org/ZDB-GENE-141216-371")</f>
        <v>https://zfin.org/ZDB-GENE-141216-371</v>
      </c>
      <c r="K2022" t="s">
        <v>4782</v>
      </c>
    </row>
    <row r="2023" spans="1:11" x14ac:dyDescent="0.2">
      <c r="A2023">
        <v>6.3983457551144099E-26</v>
      </c>
      <c r="B2023">
        <v>0.54867880354523701</v>
      </c>
      <c r="C2023">
        <v>0.255</v>
      </c>
      <c r="D2023">
        <v>2.9000000000000001E-2</v>
      </c>
      <c r="E2023">
        <v>9.9065587326436499E-22</v>
      </c>
      <c r="F2023">
        <v>3</v>
      </c>
      <c r="G2023" t="s">
        <v>4783</v>
      </c>
      <c r="H2023" t="s">
        <v>4784</v>
      </c>
      <c r="I2023" t="s">
        <v>4783</v>
      </c>
      <c r="J2023" s="1" t="str">
        <f>HYPERLINK("https://zfin.org/ZDB-GENE-040611-4")</f>
        <v>https://zfin.org/ZDB-GENE-040611-4</v>
      </c>
      <c r="K2023" t="s">
        <v>4785</v>
      </c>
    </row>
    <row r="2024" spans="1:11" x14ac:dyDescent="0.2">
      <c r="A2024">
        <v>8.9427076067953097E-26</v>
      </c>
      <c r="B2024">
        <v>0.44581908687951299</v>
      </c>
      <c r="C2024">
        <v>0.191</v>
      </c>
      <c r="D2024">
        <v>1.4999999999999999E-2</v>
      </c>
      <c r="E2024">
        <v>1.38459941876012E-21</v>
      </c>
      <c r="F2024">
        <v>3</v>
      </c>
      <c r="G2024" t="s">
        <v>4786</v>
      </c>
      <c r="H2024" t="s">
        <v>4787</v>
      </c>
      <c r="I2024" t="s">
        <v>4786</v>
      </c>
      <c r="J2024" s="1" t="str">
        <f>HYPERLINK("https://zfin.org/ZDB-GENE-040426-1741")</f>
        <v>https://zfin.org/ZDB-GENE-040426-1741</v>
      </c>
      <c r="K2024" t="s">
        <v>4788</v>
      </c>
    </row>
    <row r="2025" spans="1:11" x14ac:dyDescent="0.2">
      <c r="A2025">
        <v>1.0344827456390001E-25</v>
      </c>
      <c r="B2025">
        <v>0.62389444386805304</v>
      </c>
      <c r="C2025">
        <v>0.255</v>
      </c>
      <c r="D2025">
        <v>2.9000000000000001E-2</v>
      </c>
      <c r="E2025">
        <v>1.60168963507286E-21</v>
      </c>
      <c r="F2025">
        <v>3</v>
      </c>
      <c r="G2025" t="s">
        <v>4789</v>
      </c>
      <c r="H2025" t="s">
        <v>4790</v>
      </c>
      <c r="I2025" t="s">
        <v>4789</v>
      </c>
      <c r="J2025" s="1" t="str">
        <f>HYPERLINK("https://zfin.org/ZDB-GENE-040426-2932")</f>
        <v>https://zfin.org/ZDB-GENE-040426-2932</v>
      </c>
      <c r="K2025" t="s">
        <v>4791</v>
      </c>
    </row>
    <row r="2026" spans="1:11" x14ac:dyDescent="0.2">
      <c r="A2026">
        <v>1.09285506830657E-25</v>
      </c>
      <c r="B2026">
        <v>0.65411812099213995</v>
      </c>
      <c r="C2026">
        <v>0.45700000000000002</v>
      </c>
      <c r="D2026">
        <v>9.4E-2</v>
      </c>
      <c r="E2026">
        <v>1.69206750225906E-21</v>
      </c>
      <c r="F2026">
        <v>3</v>
      </c>
      <c r="G2026" t="s">
        <v>4792</v>
      </c>
      <c r="H2026" t="s">
        <v>4793</v>
      </c>
      <c r="I2026" t="s">
        <v>4794</v>
      </c>
      <c r="J2026" s="1" t="str">
        <f>HYPERLINK("https://zfin.org/ZDB-GENE-031114-2")</f>
        <v>https://zfin.org/ZDB-GENE-031114-2</v>
      </c>
      <c r="K2026" t="s">
        <v>4795</v>
      </c>
    </row>
    <row r="2027" spans="1:11" x14ac:dyDescent="0.2">
      <c r="A2027">
        <v>1.1232167112238899E-25</v>
      </c>
      <c r="B2027">
        <v>0.33905753728006499</v>
      </c>
      <c r="C2027">
        <v>0.16</v>
      </c>
      <c r="D2027">
        <v>8.9999999999999993E-3</v>
      </c>
      <c r="E2027">
        <v>1.7390764339879501E-21</v>
      </c>
      <c r="F2027">
        <v>3</v>
      </c>
      <c r="G2027" t="s">
        <v>4796</v>
      </c>
      <c r="H2027" t="s">
        <v>4797</v>
      </c>
      <c r="I2027" t="s">
        <v>4796</v>
      </c>
      <c r="J2027" s="1" t="str">
        <f>HYPERLINK("https://zfin.org/ZDB-GENE-141219-7")</f>
        <v>https://zfin.org/ZDB-GENE-141219-7</v>
      </c>
      <c r="K2027" t="s">
        <v>4798</v>
      </c>
    </row>
    <row r="2028" spans="1:11" x14ac:dyDescent="0.2">
      <c r="A2028">
        <v>1.8824160307867201E-25</v>
      </c>
      <c r="B2028">
        <v>0.977542248918991</v>
      </c>
      <c r="C2028">
        <v>0.67</v>
      </c>
      <c r="D2028">
        <v>0.23799999999999999</v>
      </c>
      <c r="E2028">
        <v>2.9145447404670698E-21</v>
      </c>
      <c r="F2028">
        <v>3</v>
      </c>
      <c r="G2028" t="s">
        <v>4799</v>
      </c>
      <c r="H2028" t="s">
        <v>4800</v>
      </c>
      <c r="I2028" t="s">
        <v>4799</v>
      </c>
      <c r="J2028" s="1" t="str">
        <f>HYPERLINK("https://zfin.org/ZDB-GENE-030131-6657")</f>
        <v>https://zfin.org/ZDB-GENE-030131-6657</v>
      </c>
      <c r="K2028" t="s">
        <v>4801</v>
      </c>
    </row>
    <row r="2029" spans="1:11" x14ac:dyDescent="0.2">
      <c r="A2029">
        <v>2.4116325184386001E-25</v>
      </c>
      <c r="B2029">
        <v>0.29926297122115803</v>
      </c>
      <c r="C2029">
        <v>0.128</v>
      </c>
      <c r="D2029">
        <v>5.0000000000000001E-3</v>
      </c>
      <c r="E2029">
        <v>3.7339306282984798E-21</v>
      </c>
      <c r="F2029">
        <v>3</v>
      </c>
      <c r="G2029" t="s">
        <v>4802</v>
      </c>
      <c r="H2029" t="s">
        <v>4803</v>
      </c>
      <c r="I2029" t="s">
        <v>4802</v>
      </c>
      <c r="J2029" s="1" t="str">
        <f>HYPERLINK("https://zfin.org/ZDB-GENE-040426-896")</f>
        <v>https://zfin.org/ZDB-GENE-040426-896</v>
      </c>
      <c r="K2029" t="s">
        <v>4804</v>
      </c>
    </row>
    <row r="2030" spans="1:11" x14ac:dyDescent="0.2">
      <c r="A2030">
        <v>2.5764906769602002E-25</v>
      </c>
      <c r="B2030">
        <v>0.45205985861195402</v>
      </c>
      <c r="C2030">
        <v>0.128</v>
      </c>
      <c r="D2030">
        <v>5.0000000000000001E-3</v>
      </c>
      <c r="E2030">
        <v>3.9891805151374802E-21</v>
      </c>
      <c r="F2030">
        <v>3</v>
      </c>
      <c r="G2030" t="s">
        <v>4805</v>
      </c>
      <c r="H2030" t="s">
        <v>4806</v>
      </c>
      <c r="I2030" t="s">
        <v>4805</v>
      </c>
      <c r="J2030" s="1" t="str">
        <f>HYPERLINK("https://zfin.org/ZDB-GENE-030131-5759")</f>
        <v>https://zfin.org/ZDB-GENE-030131-5759</v>
      </c>
      <c r="K2030" t="s">
        <v>4807</v>
      </c>
    </row>
    <row r="2031" spans="1:11" x14ac:dyDescent="0.2">
      <c r="A2031">
        <v>2.8647705674918502E-25</v>
      </c>
      <c r="B2031">
        <v>0.32070205348771802</v>
      </c>
      <c r="C2031">
        <v>0.13800000000000001</v>
      </c>
      <c r="D2031">
        <v>6.0000000000000001E-3</v>
      </c>
      <c r="E2031">
        <v>4.43552426964763E-21</v>
      </c>
      <c r="F2031">
        <v>3</v>
      </c>
      <c r="G2031" t="s">
        <v>4808</v>
      </c>
      <c r="H2031" t="s">
        <v>4809</v>
      </c>
      <c r="I2031" t="s">
        <v>4808</v>
      </c>
      <c r="J2031" s="1" t="str">
        <f>HYPERLINK("https://zfin.org/ZDB-GENE-081104-423")</f>
        <v>https://zfin.org/ZDB-GENE-081104-423</v>
      </c>
      <c r="K2031" t="s">
        <v>4810</v>
      </c>
    </row>
    <row r="2032" spans="1:11" x14ac:dyDescent="0.2">
      <c r="A2032">
        <v>2.9294589762576902E-25</v>
      </c>
      <c r="B2032">
        <v>0.361623946022889</v>
      </c>
      <c r="C2032">
        <v>0.17</v>
      </c>
      <c r="D2032">
        <v>1.0999999999999999E-2</v>
      </c>
      <c r="E2032">
        <v>4.5356813329397796E-21</v>
      </c>
      <c r="F2032">
        <v>3</v>
      </c>
      <c r="G2032" t="s">
        <v>4811</v>
      </c>
      <c r="H2032" t="s">
        <v>4812</v>
      </c>
      <c r="I2032" t="s">
        <v>4811</v>
      </c>
      <c r="J2032" s="1" t="str">
        <f>HYPERLINK("https://zfin.org/ZDB-GENE-141215-72")</f>
        <v>https://zfin.org/ZDB-GENE-141215-72</v>
      </c>
      <c r="K2032" t="s">
        <v>4813</v>
      </c>
    </row>
    <row r="2033" spans="1:11" x14ac:dyDescent="0.2">
      <c r="A2033">
        <v>3.0462331147659001E-25</v>
      </c>
      <c r="B2033">
        <v>0.26983929388626998</v>
      </c>
      <c r="C2033">
        <v>0.13800000000000001</v>
      </c>
      <c r="D2033">
        <v>6.0000000000000001E-3</v>
      </c>
      <c r="E2033">
        <v>4.71648273159205E-21</v>
      </c>
      <c r="F2033">
        <v>3</v>
      </c>
      <c r="G2033" t="s">
        <v>4814</v>
      </c>
      <c r="H2033" t="s">
        <v>4815</v>
      </c>
      <c r="I2033" t="s">
        <v>4814</v>
      </c>
      <c r="J2033" s="1" t="str">
        <f>HYPERLINK("https://zfin.org/ZDB-GENE-060503-826")</f>
        <v>https://zfin.org/ZDB-GENE-060503-826</v>
      </c>
      <c r="K2033" t="s">
        <v>4816</v>
      </c>
    </row>
    <row r="2034" spans="1:11" x14ac:dyDescent="0.2">
      <c r="A2034">
        <v>3.2967485715496502E-25</v>
      </c>
      <c r="B2034">
        <v>1.04178318253354</v>
      </c>
      <c r="C2034">
        <v>0.90400000000000003</v>
      </c>
      <c r="D2034">
        <v>0.58499999999999996</v>
      </c>
      <c r="E2034">
        <v>5.1043558133303197E-21</v>
      </c>
      <c r="F2034">
        <v>3</v>
      </c>
      <c r="G2034" t="s">
        <v>3730</v>
      </c>
      <c r="H2034" t="s">
        <v>3731</v>
      </c>
      <c r="I2034" t="s">
        <v>3730</v>
      </c>
      <c r="J2034" s="1" t="str">
        <f>HYPERLINK("https://zfin.org/ZDB-GENE-050506-24")</f>
        <v>https://zfin.org/ZDB-GENE-050506-24</v>
      </c>
      <c r="K2034" t="s">
        <v>3732</v>
      </c>
    </row>
    <row r="2035" spans="1:11" x14ac:dyDescent="0.2">
      <c r="A2035">
        <v>3.8359285922329599E-25</v>
      </c>
      <c r="B2035">
        <v>0.85765245734826001</v>
      </c>
      <c r="C2035">
        <v>0.66</v>
      </c>
      <c r="D2035">
        <v>0.214</v>
      </c>
      <c r="E2035">
        <v>5.9391682393542897E-21</v>
      </c>
      <c r="F2035">
        <v>3</v>
      </c>
      <c r="G2035" t="s">
        <v>3632</v>
      </c>
      <c r="H2035" t="s">
        <v>3633</v>
      </c>
      <c r="I2035" t="s">
        <v>3632</v>
      </c>
      <c r="J2035" s="1" t="str">
        <f>HYPERLINK("https://zfin.org/ZDB-GENE-081105-65")</f>
        <v>https://zfin.org/ZDB-GENE-081105-65</v>
      </c>
      <c r="K2035" t="s">
        <v>3634</v>
      </c>
    </row>
    <row r="2036" spans="1:11" x14ac:dyDescent="0.2">
      <c r="A2036">
        <v>1.43674492053327E-24</v>
      </c>
      <c r="B2036">
        <v>0.60836172238598096</v>
      </c>
      <c r="C2036">
        <v>0.29799999999999999</v>
      </c>
      <c r="D2036">
        <v>4.2999999999999997E-2</v>
      </c>
      <c r="E2036">
        <v>2.22451216046167E-20</v>
      </c>
      <c r="F2036">
        <v>3</v>
      </c>
      <c r="G2036" t="s">
        <v>4817</v>
      </c>
      <c r="H2036" t="s">
        <v>4818</v>
      </c>
      <c r="I2036" t="s">
        <v>4817</v>
      </c>
      <c r="J2036" s="1" t="str">
        <f>HYPERLINK("https://zfin.org/ZDB-GENE-040426-976")</f>
        <v>https://zfin.org/ZDB-GENE-040426-976</v>
      </c>
      <c r="K2036" t="s">
        <v>4819</v>
      </c>
    </row>
    <row r="2037" spans="1:11" x14ac:dyDescent="0.2">
      <c r="A2037">
        <v>1.88486323645171E-24</v>
      </c>
      <c r="B2037">
        <v>0.30169859137967098</v>
      </c>
      <c r="C2037">
        <v>0.17</v>
      </c>
      <c r="D2037">
        <v>1.2E-2</v>
      </c>
      <c r="E2037">
        <v>2.9183337489981799E-20</v>
      </c>
      <c r="F2037">
        <v>3</v>
      </c>
      <c r="G2037" t="s">
        <v>4820</v>
      </c>
      <c r="H2037" t="s">
        <v>4821</v>
      </c>
      <c r="I2037" t="s">
        <v>4820</v>
      </c>
      <c r="J2037" s="1" t="str">
        <f>HYPERLINK("https://zfin.org/ZDB-GENE-050506-15")</f>
        <v>https://zfin.org/ZDB-GENE-050506-15</v>
      </c>
      <c r="K2037" t="s">
        <v>4822</v>
      </c>
    </row>
    <row r="2038" spans="1:11" x14ac:dyDescent="0.2">
      <c r="A2038">
        <v>2.1764717953036899E-24</v>
      </c>
      <c r="B2038">
        <v>0.50123390816515301</v>
      </c>
      <c r="C2038">
        <v>0.223</v>
      </c>
      <c r="D2038">
        <v>2.3E-2</v>
      </c>
      <c r="E2038">
        <v>3.3698312806687099E-20</v>
      </c>
      <c r="F2038">
        <v>3</v>
      </c>
      <c r="G2038" t="s">
        <v>4823</v>
      </c>
      <c r="H2038" t="s">
        <v>4824</v>
      </c>
      <c r="I2038" t="s">
        <v>4823</v>
      </c>
      <c r="J2038" s="1" t="str">
        <f>HYPERLINK("https://zfin.org/ZDB-GENE-040426-2039")</f>
        <v>https://zfin.org/ZDB-GENE-040426-2039</v>
      </c>
      <c r="K2038" t="s">
        <v>4825</v>
      </c>
    </row>
    <row r="2039" spans="1:11" x14ac:dyDescent="0.2">
      <c r="A2039">
        <v>2.2332178693686099E-24</v>
      </c>
      <c r="B2039">
        <v>1.0683282851358</v>
      </c>
      <c r="C2039">
        <v>0.85099999999999998</v>
      </c>
      <c r="D2039">
        <v>0.51</v>
      </c>
      <c r="E2039">
        <v>3.4576912271434199E-20</v>
      </c>
      <c r="F2039">
        <v>3</v>
      </c>
      <c r="G2039" t="s">
        <v>4826</v>
      </c>
      <c r="H2039" t="s">
        <v>4827</v>
      </c>
      <c r="I2039" t="s">
        <v>4826</v>
      </c>
      <c r="J2039" s="1" t="str">
        <f>HYPERLINK("https://zfin.org/ZDB-GENE-030131-8480")</f>
        <v>https://zfin.org/ZDB-GENE-030131-8480</v>
      </c>
      <c r="K2039" t="s">
        <v>4828</v>
      </c>
    </row>
    <row r="2040" spans="1:11" x14ac:dyDescent="0.2">
      <c r="A2040">
        <v>2.43692470929842E-24</v>
      </c>
      <c r="B2040">
        <v>0.34090546683061901</v>
      </c>
      <c r="C2040">
        <v>0.245</v>
      </c>
      <c r="D2040">
        <v>2.8000000000000001E-2</v>
      </c>
      <c r="E2040">
        <v>3.7730905274067501E-20</v>
      </c>
      <c r="F2040">
        <v>3</v>
      </c>
      <c r="G2040" t="s">
        <v>4829</v>
      </c>
      <c r="H2040" t="s">
        <v>4830</v>
      </c>
      <c r="I2040" t="s">
        <v>4829</v>
      </c>
      <c r="J2040" s="1" t="str">
        <f>HYPERLINK("https://zfin.org/ZDB-GENE-040721-1")</f>
        <v>https://zfin.org/ZDB-GENE-040721-1</v>
      </c>
      <c r="K2040" t="s">
        <v>4831</v>
      </c>
    </row>
    <row r="2041" spans="1:11" x14ac:dyDescent="0.2">
      <c r="A2041">
        <v>2.6551570470979901E-24</v>
      </c>
      <c r="B2041">
        <v>1.00096288301598</v>
      </c>
      <c r="C2041">
        <v>0.71299999999999997</v>
      </c>
      <c r="D2041">
        <v>0.27500000000000002</v>
      </c>
      <c r="E2041">
        <v>4.1109796560218198E-20</v>
      </c>
      <c r="F2041">
        <v>3</v>
      </c>
      <c r="G2041" t="s">
        <v>4832</v>
      </c>
      <c r="H2041" t="s">
        <v>4833</v>
      </c>
      <c r="I2041" t="s">
        <v>4832</v>
      </c>
      <c r="J2041" s="1" t="str">
        <f>HYPERLINK("https://zfin.org/ZDB-GENE-030131-461")</f>
        <v>https://zfin.org/ZDB-GENE-030131-461</v>
      </c>
      <c r="K2041" t="s">
        <v>4834</v>
      </c>
    </row>
    <row r="2042" spans="1:11" x14ac:dyDescent="0.2">
      <c r="A2042">
        <v>3.0141343044318098E-24</v>
      </c>
      <c r="B2042">
        <v>0.75205565363390603</v>
      </c>
      <c r="C2042">
        <v>0.40400000000000003</v>
      </c>
      <c r="D2042">
        <v>8.5000000000000006E-2</v>
      </c>
      <c r="E2042">
        <v>4.6667841435517697E-20</v>
      </c>
      <c r="F2042">
        <v>3</v>
      </c>
      <c r="G2042" t="s">
        <v>4208</v>
      </c>
      <c r="H2042" t="s">
        <v>4209</v>
      </c>
      <c r="I2042" t="s">
        <v>4208</v>
      </c>
      <c r="J2042" s="1" t="str">
        <f>HYPERLINK("https://zfin.org/ZDB-GENE-040907-1")</f>
        <v>https://zfin.org/ZDB-GENE-040907-1</v>
      </c>
      <c r="K2042" t="s">
        <v>4210</v>
      </c>
    </row>
    <row r="2043" spans="1:11" x14ac:dyDescent="0.2">
      <c r="A2043">
        <v>3.3325582136634204E-24</v>
      </c>
      <c r="B2043">
        <v>0.55961872569132998</v>
      </c>
      <c r="C2043">
        <v>0.36199999999999999</v>
      </c>
      <c r="D2043">
        <v>6.4000000000000001E-2</v>
      </c>
      <c r="E2043">
        <v>5.1597998822150699E-20</v>
      </c>
      <c r="F2043">
        <v>3</v>
      </c>
      <c r="G2043" t="s">
        <v>4835</v>
      </c>
      <c r="H2043" t="s">
        <v>4836</v>
      </c>
      <c r="I2043" t="s">
        <v>4835</v>
      </c>
      <c r="J2043" s="1" t="str">
        <f>HYPERLINK("https://zfin.org/ZDB-GENE-030131-6067")</f>
        <v>https://zfin.org/ZDB-GENE-030131-6067</v>
      </c>
      <c r="K2043" t="s">
        <v>4837</v>
      </c>
    </row>
    <row r="2044" spans="1:11" x14ac:dyDescent="0.2">
      <c r="A2044">
        <v>3.8475861250636102E-24</v>
      </c>
      <c r="B2044">
        <v>0.72791470130705205</v>
      </c>
      <c r="C2044">
        <v>0.97899999999999998</v>
      </c>
      <c r="D2044">
        <v>0.84599999999999997</v>
      </c>
      <c r="E2044">
        <v>5.9572175974359894E-20</v>
      </c>
      <c r="F2044">
        <v>3</v>
      </c>
      <c r="G2044" t="s">
        <v>4004</v>
      </c>
      <c r="H2044" t="s">
        <v>4005</v>
      </c>
      <c r="I2044" t="s">
        <v>4004</v>
      </c>
      <c r="J2044" s="1" t="str">
        <f>HYPERLINK("https://zfin.org/ZDB-GENE-050417-329")</f>
        <v>https://zfin.org/ZDB-GENE-050417-329</v>
      </c>
      <c r="K2044" t="s">
        <v>4006</v>
      </c>
    </row>
    <row r="2045" spans="1:11" x14ac:dyDescent="0.2">
      <c r="A2045">
        <v>4.22328210893582E-24</v>
      </c>
      <c r="B2045">
        <v>0.30379308921345499</v>
      </c>
      <c r="C2045">
        <v>0.13800000000000001</v>
      </c>
      <c r="D2045">
        <v>7.0000000000000001E-3</v>
      </c>
      <c r="E2045">
        <v>6.53890768926532E-20</v>
      </c>
      <c r="F2045">
        <v>3</v>
      </c>
      <c r="G2045" t="s">
        <v>4838</v>
      </c>
      <c r="H2045" t="s">
        <v>4839</v>
      </c>
      <c r="I2045" t="s">
        <v>4838</v>
      </c>
      <c r="J2045" s="1" t="str">
        <f>HYPERLINK("https://zfin.org/ZDB-GENE-080204-12")</f>
        <v>https://zfin.org/ZDB-GENE-080204-12</v>
      </c>
      <c r="K2045" t="s">
        <v>4840</v>
      </c>
    </row>
    <row r="2046" spans="1:11" x14ac:dyDescent="0.2">
      <c r="A2046">
        <v>5.3113431714702299E-24</v>
      </c>
      <c r="B2046">
        <v>0.77455073744554503</v>
      </c>
      <c r="C2046">
        <v>0.46800000000000003</v>
      </c>
      <c r="D2046">
        <v>0.111</v>
      </c>
      <c r="E2046">
        <v>8.2235526323873597E-20</v>
      </c>
      <c r="F2046">
        <v>3</v>
      </c>
      <c r="G2046" t="s">
        <v>4841</v>
      </c>
      <c r="H2046" t="s">
        <v>4842</v>
      </c>
      <c r="I2046" t="s">
        <v>4841</v>
      </c>
      <c r="J2046" s="1" t="str">
        <f>HYPERLINK("https://zfin.org/ZDB-GENE-040426-930")</f>
        <v>https://zfin.org/ZDB-GENE-040426-930</v>
      </c>
      <c r="K2046" t="s">
        <v>4843</v>
      </c>
    </row>
    <row r="2047" spans="1:11" x14ac:dyDescent="0.2">
      <c r="A2047">
        <v>5.7934192101943799E-24</v>
      </c>
      <c r="B2047">
        <v>0.29962544270154301</v>
      </c>
      <c r="C2047">
        <v>0.13800000000000001</v>
      </c>
      <c r="D2047">
        <v>7.0000000000000001E-3</v>
      </c>
      <c r="E2047">
        <v>8.9699509631439605E-20</v>
      </c>
      <c r="F2047">
        <v>3</v>
      </c>
      <c r="G2047" t="s">
        <v>4844</v>
      </c>
      <c r="H2047" t="s">
        <v>4845</v>
      </c>
      <c r="I2047" t="s">
        <v>4844</v>
      </c>
      <c r="J2047" s="1" t="str">
        <f>HYPERLINK("https://zfin.org/ZDB-GENE-131127-26")</f>
        <v>https://zfin.org/ZDB-GENE-131127-26</v>
      </c>
      <c r="K2047" t="s">
        <v>4846</v>
      </c>
    </row>
    <row r="2048" spans="1:11" x14ac:dyDescent="0.2">
      <c r="A2048">
        <v>5.8615389535493798E-24</v>
      </c>
      <c r="B2048">
        <v>0.25352925363975598</v>
      </c>
      <c r="C2048">
        <v>0.13800000000000001</v>
      </c>
      <c r="D2048">
        <v>7.0000000000000001E-3</v>
      </c>
      <c r="E2048">
        <v>9.0754207617805099E-20</v>
      </c>
      <c r="F2048">
        <v>3</v>
      </c>
      <c r="G2048" t="s">
        <v>4847</v>
      </c>
      <c r="H2048" t="s">
        <v>4848</v>
      </c>
      <c r="I2048" t="s">
        <v>4847</v>
      </c>
      <c r="J2048" s="1" t="str">
        <f>HYPERLINK("https://zfin.org/ZDB-GENE-041007-1")</f>
        <v>https://zfin.org/ZDB-GENE-041007-1</v>
      </c>
      <c r="K2048" t="s">
        <v>4849</v>
      </c>
    </row>
    <row r="2049" spans="1:11" x14ac:dyDescent="0.2">
      <c r="A2049">
        <v>1.1164234372766101E-23</v>
      </c>
      <c r="B2049">
        <v>0.33792381924890502</v>
      </c>
      <c r="C2049">
        <v>0.128</v>
      </c>
      <c r="D2049">
        <v>6.0000000000000001E-3</v>
      </c>
      <c r="E2049">
        <v>1.7285584079353799E-19</v>
      </c>
      <c r="F2049">
        <v>3</v>
      </c>
      <c r="G2049" t="s">
        <v>4850</v>
      </c>
      <c r="H2049" t="s">
        <v>4851</v>
      </c>
      <c r="I2049" t="s">
        <v>4850</v>
      </c>
      <c r="J2049" s="1" t="str">
        <f>HYPERLINK("https://zfin.org/ZDB-GENE-030131-4513")</f>
        <v>https://zfin.org/ZDB-GENE-030131-4513</v>
      </c>
      <c r="K2049" t="s">
        <v>4852</v>
      </c>
    </row>
    <row r="2050" spans="1:11" x14ac:dyDescent="0.2">
      <c r="A2050">
        <v>1.39479753180023E-23</v>
      </c>
      <c r="B2050">
        <v>0.35339862214083101</v>
      </c>
      <c r="C2050">
        <v>0.17</v>
      </c>
      <c r="D2050">
        <v>1.2999999999999999E-2</v>
      </c>
      <c r="E2050">
        <v>2.1595650184863E-19</v>
      </c>
      <c r="F2050">
        <v>3</v>
      </c>
      <c r="G2050" t="s">
        <v>4853</v>
      </c>
      <c r="H2050" t="s">
        <v>4854</v>
      </c>
      <c r="I2050" t="s">
        <v>4853</v>
      </c>
      <c r="J2050" s="1" t="str">
        <f>HYPERLINK("https://zfin.org/ZDB-GENE-040426-2710")</f>
        <v>https://zfin.org/ZDB-GENE-040426-2710</v>
      </c>
      <c r="K2050" t="s">
        <v>4855</v>
      </c>
    </row>
    <row r="2051" spans="1:11" x14ac:dyDescent="0.2">
      <c r="A2051">
        <v>1.6023608948267E-23</v>
      </c>
      <c r="B2051">
        <v>0.31194213283523098</v>
      </c>
      <c r="C2051">
        <v>0.14899999999999999</v>
      </c>
      <c r="D2051">
        <v>8.9999999999999993E-3</v>
      </c>
      <c r="E2051">
        <v>2.4809353734601801E-19</v>
      </c>
      <c r="F2051">
        <v>3</v>
      </c>
      <c r="G2051" t="s">
        <v>4856</v>
      </c>
      <c r="H2051" t="s">
        <v>4857</v>
      </c>
      <c r="I2051" t="s">
        <v>4856</v>
      </c>
      <c r="J2051" s="1" t="str">
        <f>HYPERLINK("https://zfin.org/ZDB-GENE-041001-194")</f>
        <v>https://zfin.org/ZDB-GENE-041001-194</v>
      </c>
      <c r="K2051" t="s">
        <v>4858</v>
      </c>
    </row>
    <row r="2052" spans="1:11" x14ac:dyDescent="0.2">
      <c r="A2052">
        <v>1.84262744779828E-23</v>
      </c>
      <c r="B2052">
        <v>0.40700931808152602</v>
      </c>
      <c r="C2052">
        <v>0.18099999999999999</v>
      </c>
      <c r="D2052">
        <v>1.4999999999999999E-2</v>
      </c>
      <c r="E2052">
        <v>2.8529400774260698E-19</v>
      </c>
      <c r="F2052">
        <v>3</v>
      </c>
      <c r="G2052" t="s">
        <v>4859</v>
      </c>
      <c r="H2052" t="s">
        <v>4860</v>
      </c>
      <c r="I2052" t="s">
        <v>4859</v>
      </c>
      <c r="J2052" s="1" t="str">
        <f>HYPERLINK("https://zfin.org/ZDB-GENE-030429-30")</f>
        <v>https://zfin.org/ZDB-GENE-030429-30</v>
      </c>
      <c r="K2052" t="s">
        <v>4861</v>
      </c>
    </row>
    <row r="2053" spans="1:11" x14ac:dyDescent="0.2">
      <c r="A2053">
        <v>2.4427990989761801E-23</v>
      </c>
      <c r="B2053">
        <v>0.88893285823778401</v>
      </c>
      <c r="C2053">
        <v>0.31900000000000001</v>
      </c>
      <c r="D2053">
        <v>5.2999999999999999E-2</v>
      </c>
      <c r="E2053">
        <v>3.7821858449448202E-19</v>
      </c>
      <c r="F2053">
        <v>3</v>
      </c>
      <c r="G2053" t="s">
        <v>4862</v>
      </c>
      <c r="H2053" t="s">
        <v>4863</v>
      </c>
      <c r="I2053" t="s">
        <v>4862</v>
      </c>
      <c r="J2053" s="1" t="str">
        <f>HYPERLINK("https://zfin.org/ZDB-GENE-021209-1")</f>
        <v>https://zfin.org/ZDB-GENE-021209-1</v>
      </c>
      <c r="K2053" t="s">
        <v>4864</v>
      </c>
    </row>
    <row r="2054" spans="1:11" x14ac:dyDescent="0.2">
      <c r="A2054">
        <v>3.0929549807459103E-23</v>
      </c>
      <c r="B2054">
        <v>0.47213613890073702</v>
      </c>
      <c r="C2054">
        <v>0.20200000000000001</v>
      </c>
      <c r="D2054">
        <v>0.02</v>
      </c>
      <c r="E2054">
        <v>4.7888221966888898E-19</v>
      </c>
      <c r="F2054">
        <v>3</v>
      </c>
      <c r="G2054" t="s">
        <v>4865</v>
      </c>
      <c r="H2054" t="s">
        <v>4866</v>
      </c>
      <c r="I2054" t="s">
        <v>4865</v>
      </c>
      <c r="J2054" s="1" t="str">
        <f>HYPERLINK("https://zfin.org/ZDB-GENE-040426-1121")</f>
        <v>https://zfin.org/ZDB-GENE-040426-1121</v>
      </c>
      <c r="K2054" t="s">
        <v>4867</v>
      </c>
    </row>
    <row r="2055" spans="1:11" x14ac:dyDescent="0.2">
      <c r="A2055">
        <v>3.6801491384840797E-23</v>
      </c>
      <c r="B2055">
        <v>0.45254059482727299</v>
      </c>
      <c r="C2055">
        <v>0.16</v>
      </c>
      <c r="D2055">
        <v>1.0999999999999999E-2</v>
      </c>
      <c r="E2055">
        <v>5.6979749111149002E-19</v>
      </c>
      <c r="F2055">
        <v>3</v>
      </c>
      <c r="G2055" t="s">
        <v>4868</v>
      </c>
      <c r="H2055" t="s">
        <v>4869</v>
      </c>
      <c r="I2055" t="s">
        <v>4868</v>
      </c>
      <c r="J2055" s="1" t="str">
        <f>HYPERLINK("https://zfin.org/ZDB-GENE-030131-9819")</f>
        <v>https://zfin.org/ZDB-GENE-030131-9819</v>
      </c>
      <c r="K2055" t="s">
        <v>4870</v>
      </c>
    </row>
    <row r="2056" spans="1:11" x14ac:dyDescent="0.2">
      <c r="A2056">
        <v>3.9538987225627701E-23</v>
      </c>
      <c r="B2056">
        <v>0.93660521141078001</v>
      </c>
      <c r="C2056">
        <v>0.69099999999999995</v>
      </c>
      <c r="D2056">
        <v>0.26800000000000002</v>
      </c>
      <c r="E2056">
        <v>6.12182139214394E-19</v>
      </c>
      <c r="F2056">
        <v>3</v>
      </c>
      <c r="G2056" t="s">
        <v>4871</v>
      </c>
      <c r="H2056" t="s">
        <v>4872</v>
      </c>
      <c r="I2056" t="s">
        <v>4871</v>
      </c>
      <c r="J2056" s="1" t="str">
        <f>HYPERLINK("https://zfin.org/ZDB-GENE-030411-2")</f>
        <v>https://zfin.org/ZDB-GENE-030411-2</v>
      </c>
      <c r="K2056" t="s">
        <v>4873</v>
      </c>
    </row>
    <row r="2057" spans="1:11" x14ac:dyDescent="0.2">
      <c r="A2057">
        <v>4.6677161373656203E-23</v>
      </c>
      <c r="B2057">
        <v>0.43589319033090501</v>
      </c>
      <c r="C2057">
        <v>0.16</v>
      </c>
      <c r="D2057">
        <v>1.0999999999999999E-2</v>
      </c>
      <c r="E2057">
        <v>7.2270248954831903E-19</v>
      </c>
      <c r="F2057">
        <v>3</v>
      </c>
      <c r="G2057" t="s">
        <v>4874</v>
      </c>
      <c r="H2057" t="s">
        <v>4875</v>
      </c>
      <c r="I2057" t="s">
        <v>4874</v>
      </c>
      <c r="J2057" s="1" t="str">
        <f>HYPERLINK("https://zfin.org/ZDB-GENE-061013-398")</f>
        <v>https://zfin.org/ZDB-GENE-061013-398</v>
      </c>
      <c r="K2057" t="s">
        <v>4876</v>
      </c>
    </row>
    <row r="2058" spans="1:11" x14ac:dyDescent="0.2">
      <c r="A2058">
        <v>5.2557269282879099E-23</v>
      </c>
      <c r="B2058">
        <v>0.35659071651174801</v>
      </c>
      <c r="C2058">
        <v>0.16</v>
      </c>
      <c r="D2058">
        <v>1.0999999999999999E-2</v>
      </c>
      <c r="E2058">
        <v>8.1374420030681701E-19</v>
      </c>
      <c r="F2058">
        <v>3</v>
      </c>
      <c r="G2058" t="s">
        <v>4877</v>
      </c>
      <c r="H2058" t="s">
        <v>4878</v>
      </c>
      <c r="I2058" t="s">
        <v>4877</v>
      </c>
      <c r="J2058" s="1" t="str">
        <f>HYPERLINK("https://zfin.org/ZDB-GENE-040426-968")</f>
        <v>https://zfin.org/ZDB-GENE-040426-968</v>
      </c>
      <c r="K2058" t="s">
        <v>4879</v>
      </c>
    </row>
    <row r="2059" spans="1:11" x14ac:dyDescent="0.2">
      <c r="A2059">
        <v>7.9616584284164197E-23</v>
      </c>
      <c r="B2059">
        <v>0.34062060553497497</v>
      </c>
      <c r="C2059">
        <v>0.13800000000000001</v>
      </c>
      <c r="D2059">
        <v>8.0000000000000002E-3</v>
      </c>
      <c r="E2059">
        <v>1.23270357447171E-18</v>
      </c>
      <c r="F2059">
        <v>3</v>
      </c>
      <c r="G2059" t="s">
        <v>4880</v>
      </c>
      <c r="H2059" t="s">
        <v>4881</v>
      </c>
      <c r="I2059" t="s">
        <v>4880</v>
      </c>
      <c r="J2059" s="1" t="str">
        <f>HYPERLINK("https://zfin.org/ZDB-GENE-160113-115")</f>
        <v>https://zfin.org/ZDB-GENE-160113-115</v>
      </c>
      <c r="K2059" t="s">
        <v>4882</v>
      </c>
    </row>
    <row r="2060" spans="1:11" x14ac:dyDescent="0.2">
      <c r="A2060">
        <v>2.2908622270707702E-22</v>
      </c>
      <c r="B2060">
        <v>0.41890974751865701</v>
      </c>
      <c r="C2060">
        <v>0.191</v>
      </c>
      <c r="D2060">
        <v>1.7999999999999999E-2</v>
      </c>
      <c r="E2060">
        <v>3.5469419861736699E-18</v>
      </c>
      <c r="F2060">
        <v>3</v>
      </c>
      <c r="G2060" t="s">
        <v>4883</v>
      </c>
      <c r="H2060" t="s">
        <v>4884</v>
      </c>
      <c r="I2060" t="s">
        <v>4883</v>
      </c>
      <c r="J2060" s="1" t="str">
        <f>HYPERLINK("https://zfin.org/ZDB-GENE-070410-99")</f>
        <v>https://zfin.org/ZDB-GENE-070410-99</v>
      </c>
      <c r="K2060" t="s">
        <v>4885</v>
      </c>
    </row>
    <row r="2061" spans="1:11" x14ac:dyDescent="0.2">
      <c r="A2061">
        <v>2.6810876409338602E-22</v>
      </c>
      <c r="B2061">
        <v>0.30398395923131399</v>
      </c>
      <c r="C2061">
        <v>0.14899999999999999</v>
      </c>
      <c r="D2061">
        <v>0.01</v>
      </c>
      <c r="E2061">
        <v>4.1511279944578997E-18</v>
      </c>
      <c r="F2061">
        <v>3</v>
      </c>
      <c r="G2061" t="s">
        <v>4886</v>
      </c>
      <c r="H2061" t="s">
        <v>4887</v>
      </c>
      <c r="I2061" t="s">
        <v>4886</v>
      </c>
      <c r="J2061" s="1" t="str">
        <f>HYPERLINK("https://zfin.org/ZDB-GENE-040426-777")</f>
        <v>https://zfin.org/ZDB-GENE-040426-777</v>
      </c>
      <c r="K2061" t="s">
        <v>4888</v>
      </c>
    </row>
    <row r="2062" spans="1:11" x14ac:dyDescent="0.2">
      <c r="A2062">
        <v>5.7940735751311796E-22</v>
      </c>
      <c r="B2062">
        <v>0.87603265800915897</v>
      </c>
      <c r="C2062">
        <v>0.68100000000000005</v>
      </c>
      <c r="D2062">
        <v>0.27100000000000002</v>
      </c>
      <c r="E2062">
        <v>8.9709641163756004E-18</v>
      </c>
      <c r="F2062">
        <v>3</v>
      </c>
      <c r="G2062" t="s">
        <v>4889</v>
      </c>
      <c r="H2062" t="s">
        <v>4890</v>
      </c>
      <c r="I2062" t="s">
        <v>4889</v>
      </c>
      <c r="J2062" s="1" t="str">
        <f>HYPERLINK("https://zfin.org/ZDB-GENE-030131-719")</f>
        <v>https://zfin.org/ZDB-GENE-030131-719</v>
      </c>
      <c r="K2062" t="s">
        <v>4891</v>
      </c>
    </row>
    <row r="2063" spans="1:11" x14ac:dyDescent="0.2">
      <c r="A2063">
        <v>5.91386917045839E-22</v>
      </c>
      <c r="B2063">
        <v>0.274249982872038</v>
      </c>
      <c r="C2063">
        <v>0.17</v>
      </c>
      <c r="D2063">
        <v>1.4E-2</v>
      </c>
      <c r="E2063">
        <v>9.1564436366207198E-18</v>
      </c>
      <c r="F2063">
        <v>3</v>
      </c>
      <c r="G2063" t="s">
        <v>4892</v>
      </c>
      <c r="H2063" t="s">
        <v>4893</v>
      </c>
      <c r="I2063" t="s">
        <v>4892</v>
      </c>
      <c r="J2063" s="1" t="str">
        <f>HYPERLINK("https://zfin.org/")</f>
        <v>https://zfin.org/</v>
      </c>
    </row>
    <row r="2064" spans="1:11" x14ac:dyDescent="0.2">
      <c r="A2064">
        <v>6.2126476787657301E-22</v>
      </c>
      <c r="B2064">
        <v>0.48838989519562098</v>
      </c>
      <c r="C2064">
        <v>0.20200000000000001</v>
      </c>
      <c r="D2064">
        <v>2.1000000000000001E-2</v>
      </c>
      <c r="E2064">
        <v>9.6190424010329801E-18</v>
      </c>
      <c r="F2064">
        <v>3</v>
      </c>
      <c r="G2064" t="s">
        <v>4894</v>
      </c>
      <c r="H2064" t="s">
        <v>4895</v>
      </c>
      <c r="I2064" t="s">
        <v>4894</v>
      </c>
      <c r="J2064" s="1" t="str">
        <f>HYPERLINK("https://zfin.org/ZDB-GENE-131122-30")</f>
        <v>https://zfin.org/ZDB-GENE-131122-30</v>
      </c>
      <c r="K2064" t="s">
        <v>4896</v>
      </c>
    </row>
    <row r="2065" spans="1:11" x14ac:dyDescent="0.2">
      <c r="A2065">
        <v>8.4708981977168108E-22</v>
      </c>
      <c r="B2065">
        <v>0.77080215903057003</v>
      </c>
      <c r="C2065">
        <v>0.55300000000000005</v>
      </c>
      <c r="D2065">
        <v>0.17199999999999999</v>
      </c>
      <c r="E2065">
        <v>1.31154916795249E-17</v>
      </c>
      <c r="F2065">
        <v>3</v>
      </c>
      <c r="G2065" t="s">
        <v>4897</v>
      </c>
      <c r="H2065" t="s">
        <v>4898</v>
      </c>
      <c r="I2065" t="s">
        <v>4897</v>
      </c>
      <c r="J2065" s="1" t="str">
        <f>HYPERLINK("https://zfin.org/ZDB-GENE-040718-209")</f>
        <v>https://zfin.org/ZDB-GENE-040718-209</v>
      </c>
      <c r="K2065" t="s">
        <v>4899</v>
      </c>
    </row>
    <row r="2066" spans="1:11" x14ac:dyDescent="0.2">
      <c r="A2066">
        <v>1.3985579173009501E-21</v>
      </c>
      <c r="B2066">
        <v>0.47846003308552798</v>
      </c>
      <c r="C2066">
        <v>0.33</v>
      </c>
      <c r="D2066">
        <v>5.8999999999999997E-2</v>
      </c>
      <c r="E2066">
        <v>2.1653872233570599E-17</v>
      </c>
      <c r="F2066">
        <v>3</v>
      </c>
      <c r="G2066" t="s">
        <v>4900</v>
      </c>
      <c r="H2066" t="s">
        <v>4901</v>
      </c>
      <c r="I2066" t="s">
        <v>4900</v>
      </c>
      <c r="J2066" s="1" t="str">
        <f>HYPERLINK("https://zfin.org/ZDB-GENE-030131-6003")</f>
        <v>https://zfin.org/ZDB-GENE-030131-6003</v>
      </c>
      <c r="K2066" t="s">
        <v>4902</v>
      </c>
    </row>
    <row r="2067" spans="1:11" x14ac:dyDescent="0.2">
      <c r="A2067">
        <v>1.7225077537656701E-21</v>
      </c>
      <c r="B2067">
        <v>0.35148890746634498</v>
      </c>
      <c r="C2067">
        <v>0.18099999999999999</v>
      </c>
      <c r="D2067">
        <v>1.7000000000000001E-2</v>
      </c>
      <c r="E2067">
        <v>2.6669587551553901E-17</v>
      </c>
      <c r="F2067">
        <v>3</v>
      </c>
      <c r="G2067" t="s">
        <v>4903</v>
      </c>
      <c r="H2067" t="s">
        <v>4904</v>
      </c>
      <c r="I2067" t="s">
        <v>4903</v>
      </c>
      <c r="J2067" s="1" t="str">
        <f>HYPERLINK("https://zfin.org/ZDB-GENE-040426-994")</f>
        <v>https://zfin.org/ZDB-GENE-040426-994</v>
      </c>
      <c r="K2067" t="s">
        <v>4905</v>
      </c>
    </row>
    <row r="2068" spans="1:11" x14ac:dyDescent="0.2">
      <c r="A2068">
        <v>2.1555599402340501E-21</v>
      </c>
      <c r="B2068">
        <v>0.39685075255110902</v>
      </c>
      <c r="C2068">
        <v>0.18099999999999999</v>
      </c>
      <c r="D2068">
        <v>1.7000000000000001E-2</v>
      </c>
      <c r="E2068">
        <v>3.3374534554643698E-17</v>
      </c>
      <c r="F2068">
        <v>3</v>
      </c>
      <c r="G2068" t="s">
        <v>4906</v>
      </c>
      <c r="H2068" t="s">
        <v>4907</v>
      </c>
      <c r="I2068" t="s">
        <v>4906</v>
      </c>
      <c r="J2068" s="1" t="str">
        <f>HYPERLINK("https://zfin.org/ZDB-GENE-050522-222")</f>
        <v>https://zfin.org/ZDB-GENE-050522-222</v>
      </c>
      <c r="K2068" t="s">
        <v>4908</v>
      </c>
    </row>
    <row r="2069" spans="1:11" x14ac:dyDescent="0.2">
      <c r="A2069">
        <v>5.0643811312397102E-21</v>
      </c>
      <c r="B2069">
        <v>0.45459187224638398</v>
      </c>
      <c r="C2069">
        <v>0.13800000000000001</v>
      </c>
      <c r="D2069">
        <v>8.9999999999999993E-3</v>
      </c>
      <c r="E2069">
        <v>7.8411813054984399E-17</v>
      </c>
      <c r="F2069">
        <v>3</v>
      </c>
      <c r="G2069" t="s">
        <v>4909</v>
      </c>
      <c r="H2069" t="s">
        <v>4910</v>
      </c>
      <c r="I2069" t="s">
        <v>4909</v>
      </c>
      <c r="J2069" s="1" t="str">
        <f>HYPERLINK("https://zfin.org/ZDB-GENE-030131-5517")</f>
        <v>https://zfin.org/ZDB-GENE-030131-5517</v>
      </c>
      <c r="K2069" t="s">
        <v>4911</v>
      </c>
    </row>
    <row r="2070" spans="1:11" x14ac:dyDescent="0.2">
      <c r="A2070">
        <v>8.0483380391233904E-21</v>
      </c>
      <c r="B2070">
        <v>0.956345559665845</v>
      </c>
      <c r="C2070">
        <v>0.33</v>
      </c>
      <c r="D2070">
        <v>6.4000000000000001E-2</v>
      </c>
      <c r="E2070">
        <v>1.2461241785974801E-16</v>
      </c>
      <c r="F2070">
        <v>3</v>
      </c>
      <c r="G2070" t="s">
        <v>4912</v>
      </c>
      <c r="H2070" t="s">
        <v>4913</v>
      </c>
      <c r="I2070" t="s">
        <v>4912</v>
      </c>
      <c r="J2070" s="1" t="str">
        <f>HYPERLINK("https://zfin.org/ZDB-GENE-030131-9923")</f>
        <v>https://zfin.org/ZDB-GENE-030131-9923</v>
      </c>
      <c r="K2070" t="s">
        <v>4914</v>
      </c>
    </row>
    <row r="2071" spans="1:11" x14ac:dyDescent="0.2">
      <c r="A2071">
        <v>1.3817857310506699E-20</v>
      </c>
      <c r="B2071">
        <v>0.813877226077935</v>
      </c>
      <c r="C2071">
        <v>0.88300000000000001</v>
      </c>
      <c r="D2071">
        <v>0.70099999999999996</v>
      </c>
      <c r="E2071">
        <v>2.1394188473857501E-16</v>
      </c>
      <c r="F2071">
        <v>3</v>
      </c>
      <c r="G2071" t="s">
        <v>3062</v>
      </c>
      <c r="H2071" t="s">
        <v>3063</v>
      </c>
      <c r="I2071" t="s">
        <v>3062</v>
      </c>
      <c r="J2071" s="1" t="str">
        <f>HYPERLINK("https://zfin.org/ZDB-GENE-061215-23")</f>
        <v>https://zfin.org/ZDB-GENE-061215-23</v>
      </c>
      <c r="K2071" t="s">
        <v>3064</v>
      </c>
    </row>
    <row r="2072" spans="1:11" x14ac:dyDescent="0.2">
      <c r="A2072">
        <v>2.48474836514024E-20</v>
      </c>
      <c r="B2072">
        <v>0.34445374508441201</v>
      </c>
      <c r="C2072">
        <v>0.128</v>
      </c>
      <c r="D2072">
        <v>8.0000000000000002E-3</v>
      </c>
      <c r="E2072">
        <v>3.84713589374663E-16</v>
      </c>
      <c r="F2072">
        <v>3</v>
      </c>
      <c r="G2072" t="s">
        <v>4915</v>
      </c>
      <c r="H2072" t="s">
        <v>4916</v>
      </c>
      <c r="I2072" t="s">
        <v>4915</v>
      </c>
      <c r="J2072" s="1" t="str">
        <f>HYPERLINK("https://zfin.org/ZDB-GENE-050522-493")</f>
        <v>https://zfin.org/ZDB-GENE-050522-493</v>
      </c>
      <c r="K2072" t="s">
        <v>4917</v>
      </c>
    </row>
    <row r="2073" spans="1:11" x14ac:dyDescent="0.2">
      <c r="A2073">
        <v>3.0128497254587299E-20</v>
      </c>
      <c r="B2073">
        <v>0.34998196047241897</v>
      </c>
      <c r="C2073">
        <v>0.128</v>
      </c>
      <c r="D2073">
        <v>8.0000000000000002E-3</v>
      </c>
      <c r="E2073">
        <v>4.6647952299277599E-16</v>
      </c>
      <c r="F2073">
        <v>3</v>
      </c>
      <c r="G2073" t="s">
        <v>4918</v>
      </c>
      <c r="H2073" t="s">
        <v>4919</v>
      </c>
      <c r="I2073" t="s">
        <v>4918</v>
      </c>
      <c r="J2073" s="1" t="str">
        <f>HYPERLINK("https://zfin.org/ZDB-GENE-091230-4")</f>
        <v>https://zfin.org/ZDB-GENE-091230-4</v>
      </c>
      <c r="K2073" t="s">
        <v>4920</v>
      </c>
    </row>
    <row r="2074" spans="1:11" x14ac:dyDescent="0.2">
      <c r="A2074">
        <v>4.0904616609241298E-20</v>
      </c>
      <c r="B2074">
        <v>0.63138881360906596</v>
      </c>
      <c r="C2074">
        <v>0.309</v>
      </c>
      <c r="D2074">
        <v>5.6000000000000001E-2</v>
      </c>
      <c r="E2074">
        <v>6.3332617896088301E-16</v>
      </c>
      <c r="F2074">
        <v>3</v>
      </c>
      <c r="G2074" t="s">
        <v>4921</v>
      </c>
      <c r="H2074" t="s">
        <v>4922</v>
      </c>
      <c r="I2074" t="s">
        <v>4921</v>
      </c>
      <c r="J2074" s="1" t="str">
        <f>HYPERLINK("https://zfin.org/ZDB-GENE-030131-9544")</f>
        <v>https://zfin.org/ZDB-GENE-030131-9544</v>
      </c>
      <c r="K2074" t="s">
        <v>4923</v>
      </c>
    </row>
    <row r="2075" spans="1:11" x14ac:dyDescent="0.2">
      <c r="A2075">
        <v>4.5963570439469801E-20</v>
      </c>
      <c r="B2075">
        <v>0.62105642416139695</v>
      </c>
      <c r="C2075">
        <v>0.41499999999999998</v>
      </c>
      <c r="D2075">
        <v>0.1</v>
      </c>
      <c r="E2075">
        <v>7.1165396111431199E-16</v>
      </c>
      <c r="F2075">
        <v>3</v>
      </c>
      <c r="G2075" t="s">
        <v>4924</v>
      </c>
      <c r="H2075" t="s">
        <v>4925</v>
      </c>
      <c r="I2075" t="s">
        <v>4924</v>
      </c>
      <c r="J2075" s="1" t="str">
        <f>HYPERLINK("https://zfin.org/ZDB-GENE-040426-1588")</f>
        <v>https://zfin.org/ZDB-GENE-040426-1588</v>
      </c>
      <c r="K2075" t="s">
        <v>4926</v>
      </c>
    </row>
    <row r="2076" spans="1:11" x14ac:dyDescent="0.2">
      <c r="A2076">
        <v>4.7950466941314902E-20</v>
      </c>
      <c r="B2076">
        <v>0.419038616500928</v>
      </c>
      <c r="C2076">
        <v>0.17</v>
      </c>
      <c r="D2076">
        <v>1.6E-2</v>
      </c>
      <c r="E2076">
        <v>7.4241707965237895E-16</v>
      </c>
      <c r="F2076">
        <v>3</v>
      </c>
      <c r="G2076" t="s">
        <v>4927</v>
      </c>
      <c r="H2076" t="s">
        <v>4928</v>
      </c>
      <c r="I2076" t="s">
        <v>4927</v>
      </c>
      <c r="J2076" s="1" t="str">
        <f>HYPERLINK("https://zfin.org/ZDB-GENE-040426-1947")</f>
        <v>https://zfin.org/ZDB-GENE-040426-1947</v>
      </c>
      <c r="K2076" t="s">
        <v>4929</v>
      </c>
    </row>
    <row r="2077" spans="1:11" x14ac:dyDescent="0.2">
      <c r="A2077">
        <v>6.8106702495886497E-20</v>
      </c>
      <c r="B2077">
        <v>0.32384134101816198</v>
      </c>
      <c r="C2077">
        <v>0.13800000000000001</v>
      </c>
      <c r="D2077">
        <v>0.01</v>
      </c>
      <c r="E2077">
        <v>1.0544960747438099E-15</v>
      </c>
      <c r="F2077">
        <v>3</v>
      </c>
      <c r="G2077" t="s">
        <v>4930</v>
      </c>
      <c r="H2077" t="s">
        <v>4931</v>
      </c>
      <c r="I2077" t="s">
        <v>4930</v>
      </c>
      <c r="J2077" s="1" t="str">
        <f>HYPERLINK("https://zfin.org/ZDB-GENE-040426-2450")</f>
        <v>https://zfin.org/ZDB-GENE-040426-2450</v>
      </c>
      <c r="K2077" t="s">
        <v>4932</v>
      </c>
    </row>
    <row r="2078" spans="1:11" x14ac:dyDescent="0.2">
      <c r="A2078">
        <v>8.9360023260152497E-20</v>
      </c>
      <c r="B2078">
        <v>0.45827729521320898</v>
      </c>
      <c r="C2078">
        <v>0.20200000000000001</v>
      </c>
      <c r="D2078">
        <v>2.5000000000000001E-2</v>
      </c>
      <c r="E2078">
        <v>1.3835612401369401E-15</v>
      </c>
      <c r="F2078">
        <v>3</v>
      </c>
      <c r="G2078" t="s">
        <v>4933</v>
      </c>
      <c r="H2078" t="s">
        <v>4934</v>
      </c>
      <c r="I2078" t="s">
        <v>4933</v>
      </c>
      <c r="J2078" s="1" t="str">
        <f>HYPERLINK("https://zfin.org/ZDB-GENE-040426-900")</f>
        <v>https://zfin.org/ZDB-GENE-040426-900</v>
      </c>
      <c r="K2078" t="s">
        <v>4935</v>
      </c>
    </row>
    <row r="2079" spans="1:11" x14ac:dyDescent="0.2">
      <c r="A2079">
        <v>9.5464483110620802E-20</v>
      </c>
      <c r="B2079">
        <v>0.41422631275072103</v>
      </c>
      <c r="C2079">
        <v>0.21299999999999999</v>
      </c>
      <c r="D2079">
        <v>2.7E-2</v>
      </c>
      <c r="E2079">
        <v>1.47807659200174E-15</v>
      </c>
      <c r="F2079">
        <v>3</v>
      </c>
      <c r="G2079" t="s">
        <v>4936</v>
      </c>
      <c r="H2079" t="s">
        <v>4937</v>
      </c>
      <c r="I2079" t="s">
        <v>4936</v>
      </c>
      <c r="J2079" s="1" t="str">
        <f>HYPERLINK("https://zfin.org/ZDB-GENE-040625-125")</f>
        <v>https://zfin.org/ZDB-GENE-040625-125</v>
      </c>
      <c r="K2079" t="s">
        <v>4938</v>
      </c>
    </row>
    <row r="2080" spans="1:11" x14ac:dyDescent="0.2">
      <c r="A2080">
        <v>1.61481239374426E-19</v>
      </c>
      <c r="B2080">
        <v>0.56234963618299105</v>
      </c>
      <c r="C2080">
        <v>0.35099999999999998</v>
      </c>
      <c r="D2080">
        <v>7.2999999999999995E-2</v>
      </c>
      <c r="E2080">
        <v>2.5002140292342398E-15</v>
      </c>
      <c r="F2080">
        <v>3</v>
      </c>
      <c r="G2080" t="s">
        <v>4939</v>
      </c>
      <c r="H2080" t="s">
        <v>4940</v>
      </c>
      <c r="I2080" t="s">
        <v>4941</v>
      </c>
      <c r="J2080" s="1" t="str">
        <f>HYPERLINK("https://zfin.org/")</f>
        <v>https://zfin.org/</v>
      </c>
    </row>
    <row r="2081" spans="1:11" x14ac:dyDescent="0.2">
      <c r="A2081">
        <v>1.6992026699138601E-19</v>
      </c>
      <c r="B2081">
        <v>0.87177083882612905</v>
      </c>
      <c r="C2081">
        <v>0.34</v>
      </c>
      <c r="D2081">
        <v>7.1999999999999995E-2</v>
      </c>
      <c r="E2081">
        <v>2.6308754938276402E-15</v>
      </c>
      <c r="F2081">
        <v>3</v>
      </c>
      <c r="G2081" t="s">
        <v>4942</v>
      </c>
      <c r="H2081" t="s">
        <v>4943</v>
      </c>
      <c r="I2081" t="s">
        <v>4942</v>
      </c>
      <c r="J2081" s="1" t="str">
        <f>HYPERLINK("https://zfin.org/ZDB-GENE-030909-6")</f>
        <v>https://zfin.org/ZDB-GENE-030909-6</v>
      </c>
      <c r="K2081" t="s">
        <v>4944</v>
      </c>
    </row>
    <row r="2082" spans="1:11" x14ac:dyDescent="0.2">
      <c r="A2082">
        <v>3.1913431515357402E-19</v>
      </c>
      <c r="B2082">
        <v>0.67347718736842099</v>
      </c>
      <c r="C2082">
        <v>0.745</v>
      </c>
      <c r="D2082">
        <v>0.32200000000000001</v>
      </c>
      <c r="E2082">
        <v>4.9411566015227901E-15</v>
      </c>
      <c r="F2082">
        <v>3</v>
      </c>
      <c r="G2082" t="s">
        <v>4175</v>
      </c>
      <c r="H2082" t="s">
        <v>4176</v>
      </c>
      <c r="I2082" t="s">
        <v>4175</v>
      </c>
      <c r="J2082" s="1" t="str">
        <f>HYPERLINK("https://zfin.org/ZDB-GENE-040426-2902")</f>
        <v>https://zfin.org/ZDB-GENE-040426-2902</v>
      </c>
      <c r="K2082" t="s">
        <v>4177</v>
      </c>
    </row>
    <row r="2083" spans="1:11" x14ac:dyDescent="0.2">
      <c r="A2083">
        <v>5.2556622795575003E-19</v>
      </c>
      <c r="B2083">
        <v>0.874936059328834</v>
      </c>
      <c r="C2083">
        <v>0.72299999999999998</v>
      </c>
      <c r="D2083">
        <v>0.35499999999999998</v>
      </c>
      <c r="E2083">
        <v>8.1373419074388695E-15</v>
      </c>
      <c r="F2083">
        <v>3</v>
      </c>
      <c r="G2083" t="s">
        <v>4945</v>
      </c>
      <c r="H2083" t="s">
        <v>4946</v>
      </c>
      <c r="I2083" t="s">
        <v>4945</v>
      </c>
      <c r="J2083" s="1" t="str">
        <f>HYPERLINK("https://zfin.org/ZDB-GENE-040426-2548")</f>
        <v>https://zfin.org/ZDB-GENE-040426-2548</v>
      </c>
      <c r="K2083" t="s">
        <v>4947</v>
      </c>
    </row>
    <row r="2084" spans="1:11" x14ac:dyDescent="0.2">
      <c r="A2084">
        <v>8.6117921136920598E-19</v>
      </c>
      <c r="B2084">
        <v>0.43409352677297502</v>
      </c>
      <c r="C2084">
        <v>0.255</v>
      </c>
      <c r="D2084">
        <v>4.1000000000000002E-2</v>
      </c>
      <c r="E2084">
        <v>1.3333637729629399E-14</v>
      </c>
      <c r="F2084">
        <v>3</v>
      </c>
      <c r="G2084" t="s">
        <v>4948</v>
      </c>
      <c r="H2084" t="s">
        <v>4949</v>
      </c>
      <c r="I2084" t="s">
        <v>4948</v>
      </c>
      <c r="J2084" s="1" t="str">
        <f>HYPERLINK("https://zfin.org/ZDB-GENE-081104-255")</f>
        <v>https://zfin.org/ZDB-GENE-081104-255</v>
      </c>
      <c r="K2084" t="s">
        <v>4950</v>
      </c>
    </row>
    <row r="2085" spans="1:11" x14ac:dyDescent="0.2">
      <c r="A2085">
        <v>1.09605341002185E-18</v>
      </c>
      <c r="B2085">
        <v>0.32637794922624502</v>
      </c>
      <c r="C2085">
        <v>0.11700000000000001</v>
      </c>
      <c r="D2085">
        <v>7.0000000000000001E-3</v>
      </c>
      <c r="E2085">
        <v>1.6970194947368301E-14</v>
      </c>
      <c r="F2085">
        <v>3</v>
      </c>
      <c r="G2085" t="s">
        <v>4951</v>
      </c>
      <c r="H2085" t="s">
        <v>4952</v>
      </c>
      <c r="I2085" t="s">
        <v>4951</v>
      </c>
      <c r="J2085" s="1" t="str">
        <f>HYPERLINK("https://zfin.org/ZDB-GENE-060113-2")</f>
        <v>https://zfin.org/ZDB-GENE-060113-2</v>
      </c>
      <c r="K2085" t="s">
        <v>4953</v>
      </c>
    </row>
    <row r="2086" spans="1:11" x14ac:dyDescent="0.2">
      <c r="A2086">
        <v>1.34412616112283E-18</v>
      </c>
      <c r="B2086">
        <v>0.70947418658901096</v>
      </c>
      <c r="C2086">
        <v>0.91500000000000004</v>
      </c>
      <c r="D2086">
        <v>0.75800000000000001</v>
      </c>
      <c r="E2086">
        <v>2.0811105352664699E-14</v>
      </c>
      <c r="F2086">
        <v>3</v>
      </c>
      <c r="G2086" t="s">
        <v>4954</v>
      </c>
      <c r="H2086" t="s">
        <v>4955</v>
      </c>
      <c r="I2086" t="s">
        <v>4954</v>
      </c>
      <c r="J2086" s="1" t="str">
        <f>HYPERLINK("https://zfin.org/ZDB-GENE-040426-860")</f>
        <v>https://zfin.org/ZDB-GENE-040426-860</v>
      </c>
      <c r="K2086" t="s">
        <v>4956</v>
      </c>
    </row>
    <row r="2087" spans="1:11" x14ac:dyDescent="0.2">
      <c r="A2087">
        <v>1.7730298944750201E-18</v>
      </c>
      <c r="B2087">
        <v>0.27530945273385599</v>
      </c>
      <c r="C2087">
        <v>0.128</v>
      </c>
      <c r="D2087">
        <v>8.9999999999999993E-3</v>
      </c>
      <c r="E2087">
        <v>2.7451821856156802E-14</v>
      </c>
      <c r="F2087">
        <v>3</v>
      </c>
      <c r="G2087" t="s">
        <v>4957</v>
      </c>
      <c r="H2087" t="s">
        <v>4958</v>
      </c>
      <c r="I2087" t="s">
        <v>4957</v>
      </c>
      <c r="J2087" s="1" t="str">
        <f>HYPERLINK("https://zfin.org/ZDB-GENE-050320-25")</f>
        <v>https://zfin.org/ZDB-GENE-050320-25</v>
      </c>
      <c r="K2087" t="s">
        <v>4959</v>
      </c>
    </row>
    <row r="2088" spans="1:11" x14ac:dyDescent="0.2">
      <c r="A2088">
        <v>1.85210140636623E-18</v>
      </c>
      <c r="B2088">
        <v>0.308140058872651</v>
      </c>
      <c r="C2088">
        <v>0.106</v>
      </c>
      <c r="D2088">
        <v>6.0000000000000001E-3</v>
      </c>
      <c r="E2088">
        <v>2.8676086074768301E-14</v>
      </c>
      <c r="F2088">
        <v>3</v>
      </c>
      <c r="G2088" t="s">
        <v>4960</v>
      </c>
      <c r="H2088" t="s">
        <v>4961</v>
      </c>
      <c r="I2088" t="s">
        <v>4960</v>
      </c>
      <c r="J2088" s="1" t="str">
        <f>HYPERLINK("https://zfin.org/ZDB-GENE-080723-3")</f>
        <v>https://zfin.org/ZDB-GENE-080723-3</v>
      </c>
      <c r="K2088" t="s">
        <v>4962</v>
      </c>
    </row>
    <row r="2089" spans="1:11" x14ac:dyDescent="0.2">
      <c r="A2089">
        <v>2.3366369560453302E-18</v>
      </c>
      <c r="B2089">
        <v>0.396313849587344</v>
      </c>
      <c r="C2089">
        <v>0.13800000000000001</v>
      </c>
      <c r="D2089">
        <v>1.0999999999999999E-2</v>
      </c>
      <c r="E2089">
        <v>3.6178149990449799E-14</v>
      </c>
      <c r="F2089">
        <v>3</v>
      </c>
      <c r="G2089" t="s">
        <v>4963</v>
      </c>
      <c r="H2089" t="s">
        <v>4964</v>
      </c>
      <c r="I2089" t="s">
        <v>4963</v>
      </c>
      <c r="J2089" s="1" t="str">
        <f>HYPERLINK("https://zfin.org/ZDB-GENE-030131-731")</f>
        <v>https://zfin.org/ZDB-GENE-030131-731</v>
      </c>
      <c r="K2089" t="s">
        <v>4965</v>
      </c>
    </row>
    <row r="2090" spans="1:11" x14ac:dyDescent="0.2">
      <c r="A2090">
        <v>3.10851827847905E-18</v>
      </c>
      <c r="B2090">
        <v>0.75431736716070197</v>
      </c>
      <c r="C2090">
        <v>0.52100000000000002</v>
      </c>
      <c r="D2090">
        <v>0.17199999999999999</v>
      </c>
      <c r="E2090">
        <v>4.8129188505691098E-14</v>
      </c>
      <c r="F2090">
        <v>3</v>
      </c>
      <c r="G2090" t="s">
        <v>4966</v>
      </c>
      <c r="H2090" t="s">
        <v>4967</v>
      </c>
      <c r="I2090" t="s">
        <v>4966</v>
      </c>
      <c r="J2090" s="1" t="str">
        <f>HYPERLINK("https://zfin.org/ZDB-GENE-040718-426")</f>
        <v>https://zfin.org/ZDB-GENE-040718-426</v>
      </c>
      <c r="K2090" t="s">
        <v>4968</v>
      </c>
    </row>
    <row r="2091" spans="1:11" x14ac:dyDescent="0.2">
      <c r="A2091">
        <v>6.5243308385790102E-18</v>
      </c>
      <c r="B2091">
        <v>0.47854045320489902</v>
      </c>
      <c r="C2091">
        <v>0.23400000000000001</v>
      </c>
      <c r="D2091">
        <v>3.5999999999999997E-2</v>
      </c>
      <c r="E2091">
        <v>1.01016214373719E-13</v>
      </c>
      <c r="F2091">
        <v>3</v>
      </c>
      <c r="G2091" t="s">
        <v>4969</v>
      </c>
      <c r="H2091" t="s">
        <v>4970</v>
      </c>
      <c r="I2091" t="s">
        <v>4969</v>
      </c>
      <c r="J2091" s="1" t="str">
        <f>HYPERLINK("https://zfin.org/ZDB-GENE-131121-246")</f>
        <v>https://zfin.org/ZDB-GENE-131121-246</v>
      </c>
      <c r="K2091" t="s">
        <v>4971</v>
      </c>
    </row>
    <row r="2092" spans="1:11" x14ac:dyDescent="0.2">
      <c r="A2092">
        <v>8.64811458480065E-18</v>
      </c>
      <c r="B2092">
        <v>0.43070102990596199</v>
      </c>
      <c r="C2092">
        <v>0.191</v>
      </c>
      <c r="D2092">
        <v>2.5000000000000001E-2</v>
      </c>
      <c r="E2092">
        <v>1.3389875811646899E-13</v>
      </c>
      <c r="F2092">
        <v>3</v>
      </c>
      <c r="G2092" t="s">
        <v>4972</v>
      </c>
      <c r="H2092" t="s">
        <v>4973</v>
      </c>
      <c r="I2092" t="s">
        <v>4972</v>
      </c>
      <c r="J2092" s="1" t="str">
        <f>HYPERLINK("https://zfin.org/ZDB-GENE-030616-462")</f>
        <v>https://zfin.org/ZDB-GENE-030616-462</v>
      </c>
      <c r="K2092" t="s">
        <v>4974</v>
      </c>
    </row>
    <row r="2093" spans="1:11" x14ac:dyDescent="0.2">
      <c r="A2093">
        <v>1.1440957493916199E-17</v>
      </c>
      <c r="B2093">
        <v>0.29501829450885902</v>
      </c>
      <c r="C2093">
        <v>0.13800000000000001</v>
      </c>
      <c r="D2093">
        <v>1.2E-2</v>
      </c>
      <c r="E2093">
        <v>1.7714034487830499E-13</v>
      </c>
      <c r="F2093">
        <v>3</v>
      </c>
      <c r="G2093" t="s">
        <v>4975</v>
      </c>
      <c r="H2093" t="s">
        <v>4976</v>
      </c>
      <c r="I2093" t="s">
        <v>4975</v>
      </c>
      <c r="J2093" s="1" t="str">
        <f>HYPERLINK("https://zfin.org/ZDB-GENE-030616-157")</f>
        <v>https://zfin.org/ZDB-GENE-030616-157</v>
      </c>
      <c r="K2093" t="s">
        <v>4977</v>
      </c>
    </row>
    <row r="2094" spans="1:11" x14ac:dyDescent="0.2">
      <c r="A2094">
        <v>1.4730642822421799E-17</v>
      </c>
      <c r="B2094">
        <v>0.28505955916993397</v>
      </c>
      <c r="C2094">
        <v>0.13800000000000001</v>
      </c>
      <c r="D2094">
        <v>1.2E-2</v>
      </c>
      <c r="E2094">
        <v>2.2807454281955702E-13</v>
      </c>
      <c r="F2094">
        <v>3</v>
      </c>
      <c r="G2094" t="s">
        <v>4978</v>
      </c>
      <c r="H2094" t="s">
        <v>4979</v>
      </c>
      <c r="I2094" t="s">
        <v>4978</v>
      </c>
      <c r="J2094" s="1" t="str">
        <f>HYPERLINK("https://zfin.org/ZDB-GENE-050522-508")</f>
        <v>https://zfin.org/ZDB-GENE-050522-508</v>
      </c>
      <c r="K2094" t="s">
        <v>4980</v>
      </c>
    </row>
    <row r="2095" spans="1:11" x14ac:dyDescent="0.2">
      <c r="A2095">
        <v>3.3339021393277398E-17</v>
      </c>
      <c r="B2095">
        <v>0.34018279893421699</v>
      </c>
      <c r="C2095">
        <v>0.14899999999999999</v>
      </c>
      <c r="D2095">
        <v>1.4999999999999999E-2</v>
      </c>
      <c r="E2095">
        <v>5.1618806823211399E-13</v>
      </c>
      <c r="F2095">
        <v>3</v>
      </c>
      <c r="G2095" t="s">
        <v>4981</v>
      </c>
      <c r="H2095" t="s">
        <v>4982</v>
      </c>
      <c r="I2095" t="s">
        <v>4981</v>
      </c>
      <c r="J2095" s="1" t="str">
        <f>HYPERLINK("https://zfin.org/ZDB-GENE-090313-182")</f>
        <v>https://zfin.org/ZDB-GENE-090313-182</v>
      </c>
      <c r="K2095" t="s">
        <v>4983</v>
      </c>
    </row>
    <row r="2096" spans="1:11" x14ac:dyDescent="0.2">
      <c r="A2096">
        <v>3.8063516746320902E-17</v>
      </c>
      <c r="B2096">
        <v>0.67793926472081201</v>
      </c>
      <c r="C2096">
        <v>0.23400000000000001</v>
      </c>
      <c r="D2096">
        <v>3.9E-2</v>
      </c>
      <c r="E2096">
        <v>5.8933742978328702E-13</v>
      </c>
      <c r="F2096">
        <v>3</v>
      </c>
      <c r="G2096" t="s">
        <v>4984</v>
      </c>
      <c r="H2096" t="s">
        <v>4985</v>
      </c>
      <c r="I2096" t="s">
        <v>4984</v>
      </c>
      <c r="J2096" s="1" t="str">
        <f>HYPERLINK("https://zfin.org/ZDB-GENE-031001-13")</f>
        <v>https://zfin.org/ZDB-GENE-031001-13</v>
      </c>
      <c r="K2096" t="s">
        <v>4986</v>
      </c>
    </row>
    <row r="2097" spans="1:11" x14ac:dyDescent="0.2">
      <c r="A2097">
        <v>4.4074985784233998E-17</v>
      </c>
      <c r="B2097">
        <v>0.74504217612372203</v>
      </c>
      <c r="C2097">
        <v>0.60599999999999998</v>
      </c>
      <c r="D2097">
        <v>0.252</v>
      </c>
      <c r="E2097">
        <v>6.8241300489729397E-13</v>
      </c>
      <c r="F2097">
        <v>3</v>
      </c>
      <c r="G2097" t="s">
        <v>3790</v>
      </c>
      <c r="H2097" t="s">
        <v>3791</v>
      </c>
      <c r="I2097" t="s">
        <v>3790</v>
      </c>
      <c r="J2097" s="1" t="str">
        <f>HYPERLINK("https://zfin.org/ZDB-GENE-030131-8279")</f>
        <v>https://zfin.org/ZDB-GENE-030131-8279</v>
      </c>
      <c r="K2097" t="s">
        <v>3792</v>
      </c>
    </row>
    <row r="2098" spans="1:11" x14ac:dyDescent="0.2">
      <c r="A2098">
        <v>6.6941222867764894E-17</v>
      </c>
      <c r="B2098">
        <v>0.39627269092359801</v>
      </c>
      <c r="C2098">
        <v>0.18099999999999999</v>
      </c>
      <c r="D2098">
        <v>2.3E-2</v>
      </c>
      <c r="E2098">
        <v>1.0364509536616E-12</v>
      </c>
      <c r="F2098">
        <v>3</v>
      </c>
      <c r="G2098" t="s">
        <v>4987</v>
      </c>
      <c r="H2098" t="s">
        <v>4988</v>
      </c>
      <c r="I2098" t="s">
        <v>4987</v>
      </c>
      <c r="J2098" s="1" t="str">
        <f>HYPERLINK("https://zfin.org/ZDB-GENE-030131-5865")</f>
        <v>https://zfin.org/ZDB-GENE-030131-5865</v>
      </c>
      <c r="K2098" t="s">
        <v>4989</v>
      </c>
    </row>
    <row r="2099" spans="1:11" x14ac:dyDescent="0.2">
      <c r="A2099">
        <v>8.0551696668539398E-17</v>
      </c>
      <c r="B2099">
        <v>0.29126735227719502</v>
      </c>
      <c r="C2099">
        <v>0.13800000000000001</v>
      </c>
      <c r="D2099">
        <v>1.2999999999999999E-2</v>
      </c>
      <c r="E2099">
        <v>1.2471819195189999E-12</v>
      </c>
      <c r="F2099">
        <v>3</v>
      </c>
      <c r="G2099" t="s">
        <v>4990</v>
      </c>
      <c r="H2099" t="s">
        <v>4991</v>
      </c>
      <c r="I2099" t="s">
        <v>4990</v>
      </c>
      <c r="J2099" s="1" t="str">
        <f>HYPERLINK("https://zfin.org/ZDB-GENE-100922-145")</f>
        <v>https://zfin.org/ZDB-GENE-100922-145</v>
      </c>
      <c r="K2099" t="s">
        <v>4992</v>
      </c>
    </row>
    <row r="2100" spans="1:11" x14ac:dyDescent="0.2">
      <c r="A2100">
        <v>9.09575297693822E-17</v>
      </c>
      <c r="B2100">
        <v>0.255773762046974</v>
      </c>
      <c r="C2100">
        <v>0.128</v>
      </c>
      <c r="D2100">
        <v>1.0999999999999999E-2</v>
      </c>
      <c r="E2100">
        <v>1.40829543341935E-12</v>
      </c>
      <c r="F2100">
        <v>3</v>
      </c>
      <c r="G2100" t="s">
        <v>4993</v>
      </c>
      <c r="H2100" t="s">
        <v>4994</v>
      </c>
      <c r="I2100" t="s">
        <v>4993</v>
      </c>
      <c r="J2100" s="1" t="str">
        <f>HYPERLINK("https://zfin.org/ZDB-GENE-041114-113")</f>
        <v>https://zfin.org/ZDB-GENE-041114-113</v>
      </c>
      <c r="K2100" t="s">
        <v>4995</v>
      </c>
    </row>
    <row r="2101" spans="1:11" x14ac:dyDescent="0.2">
      <c r="A2101">
        <v>1.2515410790564601E-16</v>
      </c>
      <c r="B2101">
        <v>0.527024911941536</v>
      </c>
      <c r="C2101">
        <v>0.372</v>
      </c>
      <c r="D2101">
        <v>9.4E-2</v>
      </c>
      <c r="E2101">
        <v>1.9377610527031101E-12</v>
      </c>
      <c r="F2101">
        <v>3</v>
      </c>
      <c r="G2101" t="s">
        <v>4996</v>
      </c>
      <c r="H2101" t="s">
        <v>4997</v>
      </c>
      <c r="I2101" t="s">
        <v>4996</v>
      </c>
      <c r="J2101" s="1" t="str">
        <f>HYPERLINK("https://zfin.org/ZDB-GENE-020424-2")</f>
        <v>https://zfin.org/ZDB-GENE-020424-2</v>
      </c>
      <c r="K2101" t="s">
        <v>4998</v>
      </c>
    </row>
    <row r="2102" spans="1:11" x14ac:dyDescent="0.2">
      <c r="A2102">
        <v>1.36675196915212E-16</v>
      </c>
      <c r="B2102">
        <v>0.39340993115622003</v>
      </c>
      <c r="C2102">
        <v>0.223</v>
      </c>
      <c r="D2102">
        <v>3.5999999999999997E-2</v>
      </c>
      <c r="E2102">
        <v>2.1161420738382199E-12</v>
      </c>
      <c r="F2102">
        <v>3</v>
      </c>
      <c r="G2102" t="s">
        <v>4999</v>
      </c>
      <c r="H2102" t="s">
        <v>5000</v>
      </c>
      <c r="I2102" t="s">
        <v>4999</v>
      </c>
      <c r="J2102" s="1" t="str">
        <f>HYPERLINK("https://zfin.org/ZDB-GENE-030131-607")</f>
        <v>https://zfin.org/ZDB-GENE-030131-607</v>
      </c>
      <c r="K2102" t="s">
        <v>5001</v>
      </c>
    </row>
    <row r="2103" spans="1:11" x14ac:dyDescent="0.2">
      <c r="A2103">
        <v>1.43329834376624E-16</v>
      </c>
      <c r="B2103">
        <v>0.33429775825836</v>
      </c>
      <c r="C2103">
        <v>0.14899999999999999</v>
      </c>
      <c r="D2103">
        <v>1.4999999999999999E-2</v>
      </c>
      <c r="E2103">
        <v>2.2191758256532702E-12</v>
      </c>
      <c r="F2103">
        <v>3</v>
      </c>
      <c r="G2103" t="s">
        <v>5002</v>
      </c>
      <c r="H2103" t="s">
        <v>5003</v>
      </c>
      <c r="I2103" t="s">
        <v>5002</v>
      </c>
      <c r="J2103" s="1" t="str">
        <f>HYPERLINK("https://zfin.org/ZDB-GENE-030131-2976")</f>
        <v>https://zfin.org/ZDB-GENE-030131-2976</v>
      </c>
      <c r="K2103" t="s">
        <v>5004</v>
      </c>
    </row>
    <row r="2104" spans="1:11" x14ac:dyDescent="0.2">
      <c r="A2104">
        <v>1.5951194939262601E-16</v>
      </c>
      <c r="B2104">
        <v>0.64096472593999199</v>
      </c>
      <c r="C2104">
        <v>0.85099999999999998</v>
      </c>
      <c r="D2104">
        <v>0.621</v>
      </c>
      <c r="E2104">
        <v>2.4697235124460201E-12</v>
      </c>
      <c r="F2104">
        <v>3</v>
      </c>
      <c r="G2104" t="s">
        <v>5005</v>
      </c>
      <c r="H2104" t="s">
        <v>5006</v>
      </c>
      <c r="I2104" t="s">
        <v>5005</v>
      </c>
      <c r="J2104" s="1" t="str">
        <f>HYPERLINK("https://zfin.org/ZDB-GENE-061027-176")</f>
        <v>https://zfin.org/ZDB-GENE-061027-176</v>
      </c>
      <c r="K2104" t="s">
        <v>5007</v>
      </c>
    </row>
    <row r="2105" spans="1:11" x14ac:dyDescent="0.2">
      <c r="A2105">
        <v>1.9876804969138199E-16</v>
      </c>
      <c r="B2105">
        <v>0.73622407329509199</v>
      </c>
      <c r="C2105">
        <v>0.68100000000000005</v>
      </c>
      <c r="D2105">
        <v>0.29499999999999998</v>
      </c>
      <c r="E2105">
        <v>3.0775257133716699E-12</v>
      </c>
      <c r="F2105">
        <v>3</v>
      </c>
      <c r="G2105" t="s">
        <v>5008</v>
      </c>
      <c r="H2105" t="s">
        <v>5009</v>
      </c>
      <c r="I2105" t="s">
        <v>5008</v>
      </c>
      <c r="J2105" s="1" t="str">
        <f>HYPERLINK("https://zfin.org/ZDB-GENE-040912-105")</f>
        <v>https://zfin.org/ZDB-GENE-040912-105</v>
      </c>
      <c r="K2105" t="s">
        <v>5010</v>
      </c>
    </row>
    <row r="2106" spans="1:11" x14ac:dyDescent="0.2">
      <c r="A2106">
        <v>2.21582417088359E-16</v>
      </c>
      <c r="B2106">
        <v>0.34584321976501903</v>
      </c>
      <c r="C2106">
        <v>0.106</v>
      </c>
      <c r="D2106">
        <v>7.0000000000000001E-3</v>
      </c>
      <c r="E2106">
        <v>3.4307605637790702E-12</v>
      </c>
      <c r="F2106">
        <v>3</v>
      </c>
      <c r="G2106" t="s">
        <v>5011</v>
      </c>
      <c r="H2106" t="s">
        <v>5012</v>
      </c>
      <c r="I2106" t="s">
        <v>5011</v>
      </c>
      <c r="J2106" s="1" t="str">
        <f>HYPERLINK("https://zfin.org/ZDB-GENE-030131-3087")</f>
        <v>https://zfin.org/ZDB-GENE-030131-3087</v>
      </c>
      <c r="K2106" t="s">
        <v>5013</v>
      </c>
    </row>
    <row r="2107" spans="1:11" x14ac:dyDescent="0.2">
      <c r="A2107">
        <v>2.44390261494465E-16</v>
      </c>
      <c r="B2107">
        <v>0.69498173371719496</v>
      </c>
      <c r="C2107">
        <v>0.93600000000000005</v>
      </c>
      <c r="D2107">
        <v>0.83</v>
      </c>
      <c r="E2107">
        <v>3.7838944187187997E-12</v>
      </c>
      <c r="F2107">
        <v>3</v>
      </c>
      <c r="G2107" t="s">
        <v>3389</v>
      </c>
      <c r="H2107" t="s">
        <v>3390</v>
      </c>
      <c r="I2107" t="s">
        <v>3389</v>
      </c>
      <c r="J2107" s="1" t="str">
        <f>HYPERLINK("https://zfin.org/ZDB-GENE-030131-8625")</f>
        <v>https://zfin.org/ZDB-GENE-030131-8625</v>
      </c>
      <c r="K2107" t="s">
        <v>3391</v>
      </c>
    </row>
    <row r="2108" spans="1:11" x14ac:dyDescent="0.2">
      <c r="A2108">
        <v>3.3096761667966001E-16</v>
      </c>
      <c r="B2108">
        <v>0.27649193014765899</v>
      </c>
      <c r="C2108">
        <v>0.13800000000000001</v>
      </c>
      <c r="D2108">
        <v>1.2999999999999999E-2</v>
      </c>
      <c r="E2108">
        <v>5.1243716090511799E-12</v>
      </c>
      <c r="F2108">
        <v>3</v>
      </c>
      <c r="G2108" t="s">
        <v>5014</v>
      </c>
      <c r="H2108" t="s">
        <v>5015</v>
      </c>
      <c r="I2108" t="s">
        <v>5014</v>
      </c>
      <c r="J2108" s="1" t="str">
        <f>HYPERLINK("https://zfin.org/ZDB-GENE-040426-2784")</f>
        <v>https://zfin.org/ZDB-GENE-040426-2784</v>
      </c>
      <c r="K2108" t="s">
        <v>5016</v>
      </c>
    </row>
    <row r="2109" spans="1:11" x14ac:dyDescent="0.2">
      <c r="A2109">
        <v>3.9011577440421599E-16</v>
      </c>
      <c r="B2109">
        <v>0.46465337625730602</v>
      </c>
      <c r="C2109">
        <v>0.36199999999999999</v>
      </c>
      <c r="D2109">
        <v>9.0999999999999998E-2</v>
      </c>
      <c r="E2109">
        <v>6.04016253510047E-12</v>
      </c>
      <c r="F2109">
        <v>3</v>
      </c>
      <c r="G2109" t="s">
        <v>5017</v>
      </c>
      <c r="H2109" t="s">
        <v>5018</v>
      </c>
      <c r="I2109" t="s">
        <v>5017</v>
      </c>
      <c r="J2109" s="1" t="str">
        <f>HYPERLINK("https://zfin.org/ZDB-GENE-061110-82")</f>
        <v>https://zfin.org/ZDB-GENE-061110-82</v>
      </c>
      <c r="K2109" t="s">
        <v>5019</v>
      </c>
    </row>
    <row r="2110" spans="1:11" x14ac:dyDescent="0.2">
      <c r="A2110">
        <v>4.6154228054102199E-16</v>
      </c>
      <c r="B2110">
        <v>0.702580621717948</v>
      </c>
      <c r="C2110">
        <v>0.81899999999999995</v>
      </c>
      <c r="D2110">
        <v>0.51700000000000002</v>
      </c>
      <c r="E2110">
        <v>7.1460591296166499E-12</v>
      </c>
      <c r="F2110">
        <v>3</v>
      </c>
      <c r="G2110" t="s">
        <v>5020</v>
      </c>
      <c r="H2110" t="s">
        <v>5021</v>
      </c>
      <c r="I2110" t="s">
        <v>5020</v>
      </c>
      <c r="J2110" s="1" t="str">
        <f>HYPERLINK("https://zfin.org/ZDB-GENE-030131-2221")</f>
        <v>https://zfin.org/ZDB-GENE-030131-2221</v>
      </c>
      <c r="K2110" t="s">
        <v>5022</v>
      </c>
    </row>
    <row r="2111" spans="1:11" x14ac:dyDescent="0.2">
      <c r="A2111">
        <v>4.7164638679407603E-16</v>
      </c>
      <c r="B2111">
        <v>0.73992492127432596</v>
      </c>
      <c r="C2111">
        <v>0.94699999999999995</v>
      </c>
      <c r="D2111">
        <v>0.81499999999999995</v>
      </c>
      <c r="E2111">
        <v>7.3025010067326906E-12</v>
      </c>
      <c r="F2111">
        <v>3</v>
      </c>
      <c r="G2111" t="s">
        <v>2823</v>
      </c>
      <c r="H2111" t="s">
        <v>2824</v>
      </c>
      <c r="I2111" t="s">
        <v>2823</v>
      </c>
      <c r="J2111" s="1" t="str">
        <f>HYPERLINK("https://zfin.org/ZDB-GENE-141216-84")</f>
        <v>https://zfin.org/ZDB-GENE-141216-84</v>
      </c>
      <c r="K2111" t="s">
        <v>2825</v>
      </c>
    </row>
    <row r="2112" spans="1:11" x14ac:dyDescent="0.2">
      <c r="A2112">
        <v>5.6424978660109801E-16</v>
      </c>
      <c r="B2112">
        <v>0.50655886438204001</v>
      </c>
      <c r="C2112">
        <v>0.47899999999999998</v>
      </c>
      <c r="D2112">
        <v>0.14399999999999999</v>
      </c>
      <c r="E2112">
        <v>8.7362794459448001E-12</v>
      </c>
      <c r="F2112">
        <v>3</v>
      </c>
      <c r="G2112" t="s">
        <v>5023</v>
      </c>
      <c r="H2112" t="s">
        <v>5024</v>
      </c>
      <c r="I2112" t="s">
        <v>5023</v>
      </c>
      <c r="J2112" s="1" t="str">
        <f>HYPERLINK("https://zfin.org/ZDB-GENE-030131-3742")</f>
        <v>https://zfin.org/ZDB-GENE-030131-3742</v>
      </c>
      <c r="K2112" t="s">
        <v>5025</v>
      </c>
    </row>
    <row r="2113" spans="1:11" x14ac:dyDescent="0.2">
      <c r="A2113">
        <v>6.0239446553082795E-16</v>
      </c>
      <c r="B2113">
        <v>0.52577935306321899</v>
      </c>
      <c r="C2113">
        <v>0.245</v>
      </c>
      <c r="D2113">
        <v>4.4999999999999998E-2</v>
      </c>
      <c r="E2113">
        <v>9.3268735098137999E-12</v>
      </c>
      <c r="F2113">
        <v>3</v>
      </c>
      <c r="G2113" t="s">
        <v>5026</v>
      </c>
      <c r="H2113" t="s">
        <v>5027</v>
      </c>
      <c r="I2113" t="s">
        <v>5026</v>
      </c>
      <c r="J2113" s="1" t="str">
        <f>HYPERLINK("https://zfin.org/ZDB-GENE-041111-259")</f>
        <v>https://zfin.org/ZDB-GENE-041111-259</v>
      </c>
      <c r="K2113" t="s">
        <v>5028</v>
      </c>
    </row>
    <row r="2114" spans="1:11" x14ac:dyDescent="0.2">
      <c r="A2114">
        <v>6.73201241349419E-16</v>
      </c>
      <c r="B2114">
        <v>0.59306868282986602</v>
      </c>
      <c r="C2114">
        <v>0.47899999999999998</v>
      </c>
      <c r="D2114">
        <v>0.157</v>
      </c>
      <c r="E2114">
        <v>1.04231748198131E-11</v>
      </c>
      <c r="F2114">
        <v>3</v>
      </c>
      <c r="G2114" t="s">
        <v>5029</v>
      </c>
      <c r="H2114" t="s">
        <v>5030</v>
      </c>
      <c r="I2114" t="s">
        <v>5029</v>
      </c>
      <c r="J2114" s="1" t="str">
        <f>HYPERLINK("https://zfin.org/ZDB-GENE-031219-6")</f>
        <v>https://zfin.org/ZDB-GENE-031219-6</v>
      </c>
      <c r="K2114" t="s">
        <v>5031</v>
      </c>
    </row>
    <row r="2115" spans="1:11" x14ac:dyDescent="0.2">
      <c r="A2115">
        <v>7.00286944771909E-16</v>
      </c>
      <c r="B2115">
        <v>0.77803268669132197</v>
      </c>
      <c r="C2115">
        <v>0.755</v>
      </c>
      <c r="D2115">
        <v>0.36499999999999999</v>
      </c>
      <c r="E2115">
        <v>1.08425427659035E-11</v>
      </c>
      <c r="F2115">
        <v>3</v>
      </c>
      <c r="G2115" t="s">
        <v>3290</v>
      </c>
      <c r="H2115" t="s">
        <v>3291</v>
      </c>
      <c r="I2115" t="s">
        <v>3290</v>
      </c>
      <c r="J2115" s="1" t="str">
        <f>HYPERLINK("https://zfin.org/ZDB-GENE-030131-6757")</f>
        <v>https://zfin.org/ZDB-GENE-030131-6757</v>
      </c>
      <c r="K2115" t="s">
        <v>3292</v>
      </c>
    </row>
    <row r="2116" spans="1:11" x14ac:dyDescent="0.2">
      <c r="A2116">
        <v>8.4217265078938299E-16</v>
      </c>
      <c r="B2116">
        <v>0.63015619098125997</v>
      </c>
      <c r="C2116">
        <v>0.39400000000000002</v>
      </c>
      <c r="D2116">
        <v>0.113</v>
      </c>
      <c r="E2116">
        <v>1.3039359152172E-11</v>
      </c>
      <c r="F2116">
        <v>3</v>
      </c>
      <c r="G2116" t="s">
        <v>5032</v>
      </c>
      <c r="H2116" t="s">
        <v>5033</v>
      </c>
      <c r="I2116" t="s">
        <v>5032</v>
      </c>
      <c r="J2116" s="1" t="str">
        <f>HYPERLINK("https://zfin.org/ZDB-GENE-031118-9")</f>
        <v>https://zfin.org/ZDB-GENE-031118-9</v>
      </c>
      <c r="K2116" t="s">
        <v>5034</v>
      </c>
    </row>
    <row r="2117" spans="1:11" x14ac:dyDescent="0.2">
      <c r="A2117">
        <v>9.0839756784066896E-16</v>
      </c>
      <c r="B2117">
        <v>0.34950272504298302</v>
      </c>
      <c r="C2117">
        <v>1</v>
      </c>
      <c r="D2117">
        <v>0.99399999999999999</v>
      </c>
      <c r="E2117">
        <v>1.4064719542877099E-11</v>
      </c>
      <c r="F2117">
        <v>3</v>
      </c>
      <c r="G2117" t="s">
        <v>914</v>
      </c>
      <c r="H2117" t="s">
        <v>915</v>
      </c>
      <c r="I2117" t="s">
        <v>914</v>
      </c>
      <c r="J2117" s="1" t="str">
        <f>HYPERLINK("https://zfin.org/ZDB-GENE-030131-8663")</f>
        <v>https://zfin.org/ZDB-GENE-030131-8663</v>
      </c>
      <c r="K2117" t="s">
        <v>916</v>
      </c>
    </row>
    <row r="2118" spans="1:11" x14ac:dyDescent="0.2">
      <c r="A2118">
        <v>1.2772333283785E-15</v>
      </c>
      <c r="B2118">
        <v>0.30062806917185902</v>
      </c>
      <c r="C2118">
        <v>0.13800000000000001</v>
      </c>
      <c r="D2118">
        <v>1.4E-2</v>
      </c>
      <c r="E2118">
        <v>1.9775403623284299E-11</v>
      </c>
      <c r="F2118">
        <v>3</v>
      </c>
      <c r="G2118" t="s">
        <v>5035</v>
      </c>
      <c r="H2118" t="s">
        <v>5036</v>
      </c>
      <c r="I2118" t="s">
        <v>5035</v>
      </c>
      <c r="J2118" s="1" t="str">
        <f>HYPERLINK("https://zfin.org/ZDB-GENE-110411-279")</f>
        <v>https://zfin.org/ZDB-GENE-110411-279</v>
      </c>
      <c r="K2118" t="s">
        <v>5037</v>
      </c>
    </row>
    <row r="2119" spans="1:11" x14ac:dyDescent="0.2">
      <c r="A2119">
        <v>1.3253570234988601E-15</v>
      </c>
      <c r="B2119">
        <v>0.73008908808470196</v>
      </c>
      <c r="C2119">
        <v>0.69099999999999995</v>
      </c>
      <c r="D2119">
        <v>0.35099999999999998</v>
      </c>
      <c r="E2119">
        <v>2.05205027948328E-11</v>
      </c>
      <c r="F2119">
        <v>3</v>
      </c>
      <c r="G2119" t="s">
        <v>5038</v>
      </c>
      <c r="H2119" t="s">
        <v>5039</v>
      </c>
      <c r="I2119" t="s">
        <v>5038</v>
      </c>
      <c r="J2119" s="1" t="str">
        <f>HYPERLINK("https://zfin.org/ZDB-GENE-040115-4")</f>
        <v>https://zfin.org/ZDB-GENE-040115-4</v>
      </c>
      <c r="K2119" t="s">
        <v>5040</v>
      </c>
    </row>
    <row r="2120" spans="1:11" x14ac:dyDescent="0.2">
      <c r="A2120">
        <v>1.56730357814576E-15</v>
      </c>
      <c r="B2120">
        <v>0.78238418589418401</v>
      </c>
      <c r="C2120">
        <v>0.61699999999999999</v>
      </c>
      <c r="D2120">
        <v>0.28899999999999998</v>
      </c>
      <c r="E2120">
        <v>2.4266561300430899E-11</v>
      </c>
      <c r="F2120">
        <v>3</v>
      </c>
      <c r="G2120" t="s">
        <v>5041</v>
      </c>
      <c r="H2120" t="s">
        <v>5042</v>
      </c>
      <c r="I2120" t="s">
        <v>5041</v>
      </c>
      <c r="J2120" s="1" t="str">
        <f>HYPERLINK("https://zfin.org/ZDB-GENE-030131-5553")</f>
        <v>https://zfin.org/ZDB-GENE-030131-5553</v>
      </c>
      <c r="K2120" t="s">
        <v>5043</v>
      </c>
    </row>
    <row r="2121" spans="1:11" x14ac:dyDescent="0.2">
      <c r="A2121">
        <v>1.67562079835887E-15</v>
      </c>
      <c r="B2121">
        <v>0.59474344933718803</v>
      </c>
      <c r="C2121">
        <v>0.28699999999999998</v>
      </c>
      <c r="D2121">
        <v>6.4000000000000001E-2</v>
      </c>
      <c r="E2121">
        <v>2.5943636820990402E-11</v>
      </c>
      <c r="F2121">
        <v>3</v>
      </c>
      <c r="G2121" t="s">
        <v>5044</v>
      </c>
      <c r="H2121" t="s">
        <v>5045</v>
      </c>
      <c r="I2121" t="s">
        <v>5044</v>
      </c>
      <c r="J2121" s="1" t="str">
        <f>HYPERLINK("https://zfin.org/ZDB-GENE-040426-836")</f>
        <v>https://zfin.org/ZDB-GENE-040426-836</v>
      </c>
      <c r="K2121" t="s">
        <v>5046</v>
      </c>
    </row>
    <row r="2122" spans="1:11" x14ac:dyDescent="0.2">
      <c r="A2122">
        <v>1.9589442430059599E-15</v>
      </c>
      <c r="B2122">
        <v>0.38764110493138598</v>
      </c>
      <c r="C2122">
        <v>0.255</v>
      </c>
      <c r="D2122">
        <v>0.05</v>
      </c>
      <c r="E2122">
        <v>3.03303337144612E-11</v>
      </c>
      <c r="F2122">
        <v>3</v>
      </c>
      <c r="G2122" t="s">
        <v>5047</v>
      </c>
      <c r="H2122" t="s">
        <v>5048</v>
      </c>
      <c r="I2122" t="s">
        <v>5047</v>
      </c>
      <c r="J2122" s="1" t="str">
        <f>HYPERLINK("https://zfin.org/ZDB-GENE-990415-46")</f>
        <v>https://zfin.org/ZDB-GENE-990415-46</v>
      </c>
      <c r="K2122" t="s">
        <v>5049</v>
      </c>
    </row>
    <row r="2123" spans="1:11" x14ac:dyDescent="0.2">
      <c r="A2123">
        <v>2.1762302811381699E-15</v>
      </c>
      <c r="B2123">
        <v>0.61922343163321902</v>
      </c>
      <c r="C2123">
        <v>0.70199999999999996</v>
      </c>
      <c r="D2123">
        <v>0.32900000000000001</v>
      </c>
      <c r="E2123">
        <v>3.3694573442862198E-11</v>
      </c>
      <c r="F2123">
        <v>3</v>
      </c>
      <c r="G2123" t="s">
        <v>5050</v>
      </c>
      <c r="H2123" t="s">
        <v>5051</v>
      </c>
      <c r="I2123" t="s">
        <v>5050</v>
      </c>
      <c r="J2123" s="1" t="str">
        <f>HYPERLINK("https://zfin.org/ZDB-GENE-030131-1158")</f>
        <v>https://zfin.org/ZDB-GENE-030131-1158</v>
      </c>
      <c r="K2123" t="s">
        <v>5052</v>
      </c>
    </row>
    <row r="2124" spans="1:11" x14ac:dyDescent="0.2">
      <c r="A2124">
        <v>2.4083526979197498E-15</v>
      </c>
      <c r="B2124">
        <v>0.63522500242912205</v>
      </c>
      <c r="C2124">
        <v>0.58499999999999996</v>
      </c>
      <c r="D2124">
        <v>0.24</v>
      </c>
      <c r="E2124">
        <v>3.7288524821891603E-11</v>
      </c>
      <c r="F2124">
        <v>3</v>
      </c>
      <c r="G2124" t="s">
        <v>5053</v>
      </c>
      <c r="H2124" t="s">
        <v>5054</v>
      </c>
      <c r="I2124" t="s">
        <v>5053</v>
      </c>
      <c r="J2124" s="1" t="str">
        <f>HYPERLINK("https://zfin.org/ZDB-GENE-031113-19")</f>
        <v>https://zfin.org/ZDB-GENE-031113-19</v>
      </c>
      <c r="K2124" t="s">
        <v>5055</v>
      </c>
    </row>
    <row r="2125" spans="1:11" x14ac:dyDescent="0.2">
      <c r="A2125">
        <v>2.7743381772531701E-15</v>
      </c>
      <c r="B2125">
        <v>0.673310567177132</v>
      </c>
      <c r="C2125">
        <v>0.70199999999999996</v>
      </c>
      <c r="D2125">
        <v>0.32</v>
      </c>
      <c r="E2125">
        <v>4.29550779984108E-11</v>
      </c>
      <c r="F2125">
        <v>3</v>
      </c>
      <c r="G2125" t="s">
        <v>3998</v>
      </c>
      <c r="H2125" t="s">
        <v>3999</v>
      </c>
      <c r="I2125" t="s">
        <v>3998</v>
      </c>
      <c r="J2125" s="1" t="str">
        <f>HYPERLINK("https://zfin.org/ZDB-GENE-020717-1")</f>
        <v>https://zfin.org/ZDB-GENE-020717-1</v>
      </c>
      <c r="K2125" t="s">
        <v>4000</v>
      </c>
    </row>
    <row r="2126" spans="1:11" x14ac:dyDescent="0.2">
      <c r="A2126">
        <v>6.3758131151355397E-15</v>
      </c>
      <c r="B2126">
        <v>0.39105897207964002</v>
      </c>
      <c r="C2126">
        <v>0.191</v>
      </c>
      <c r="D2126">
        <v>2.9000000000000001E-2</v>
      </c>
      <c r="E2126">
        <v>9.8716714461643605E-11</v>
      </c>
      <c r="F2126">
        <v>3</v>
      </c>
      <c r="G2126" t="s">
        <v>5056</v>
      </c>
      <c r="H2126" t="s">
        <v>5057</v>
      </c>
      <c r="I2126" t="s">
        <v>5056</v>
      </c>
      <c r="J2126" s="1" t="str">
        <f>HYPERLINK("https://zfin.org/ZDB-GENE-041010-214")</f>
        <v>https://zfin.org/ZDB-GENE-041010-214</v>
      </c>
      <c r="K2126" t="s">
        <v>5058</v>
      </c>
    </row>
    <row r="2127" spans="1:11" x14ac:dyDescent="0.2">
      <c r="A2127">
        <v>1.0765744985368401E-14</v>
      </c>
      <c r="B2127">
        <v>0.66533993770155597</v>
      </c>
      <c r="C2127">
        <v>0.66</v>
      </c>
      <c r="D2127">
        <v>0.31900000000000001</v>
      </c>
      <c r="E2127">
        <v>1.6668602960845901E-10</v>
      </c>
      <c r="F2127">
        <v>3</v>
      </c>
      <c r="G2127" t="s">
        <v>5059</v>
      </c>
      <c r="H2127" t="s">
        <v>5060</v>
      </c>
      <c r="I2127" t="s">
        <v>5059</v>
      </c>
      <c r="J2127" s="1" t="str">
        <f>HYPERLINK("https://zfin.org/ZDB-GENE-061215-102")</f>
        <v>https://zfin.org/ZDB-GENE-061215-102</v>
      </c>
      <c r="K2127" t="s">
        <v>5061</v>
      </c>
    </row>
    <row r="2128" spans="1:11" x14ac:dyDescent="0.2">
      <c r="A2128">
        <v>1.4253709795152201E-14</v>
      </c>
      <c r="B2128">
        <v>0.483843598768117</v>
      </c>
      <c r="C2128">
        <v>0.309</v>
      </c>
      <c r="D2128">
        <v>7.3999999999999996E-2</v>
      </c>
      <c r="E2128">
        <v>2.2069018875834101E-10</v>
      </c>
      <c r="F2128">
        <v>3</v>
      </c>
      <c r="G2128" t="s">
        <v>5062</v>
      </c>
      <c r="H2128" t="s">
        <v>5063</v>
      </c>
      <c r="I2128" t="s">
        <v>5062</v>
      </c>
      <c r="J2128" s="1" t="str">
        <f>HYPERLINK("https://zfin.org/ZDB-GENE-031107-3")</f>
        <v>https://zfin.org/ZDB-GENE-031107-3</v>
      </c>
      <c r="K2128" t="s">
        <v>5064</v>
      </c>
    </row>
    <row r="2129" spans="1:11" x14ac:dyDescent="0.2">
      <c r="A2129">
        <v>1.9921602880710799E-14</v>
      </c>
      <c r="B2129">
        <v>0.28977480112235199</v>
      </c>
      <c r="C2129">
        <v>0.14899999999999999</v>
      </c>
      <c r="D2129">
        <v>1.7999999999999999E-2</v>
      </c>
      <c r="E2129">
        <v>3.08446177402045E-10</v>
      </c>
      <c r="F2129">
        <v>3</v>
      </c>
      <c r="G2129" t="s">
        <v>5065</v>
      </c>
      <c r="H2129" t="s">
        <v>5066</v>
      </c>
      <c r="I2129" t="s">
        <v>5065</v>
      </c>
      <c r="J2129" s="1" t="str">
        <f>HYPERLINK("https://zfin.org/ZDB-GENE-060526-178")</f>
        <v>https://zfin.org/ZDB-GENE-060526-178</v>
      </c>
      <c r="K2129" t="s">
        <v>5067</v>
      </c>
    </row>
    <row r="2130" spans="1:11" x14ac:dyDescent="0.2">
      <c r="A2130">
        <v>2.64928517055517E-14</v>
      </c>
      <c r="B2130">
        <v>0.57849918285900004</v>
      </c>
      <c r="C2130">
        <v>0.89400000000000002</v>
      </c>
      <c r="D2130">
        <v>0.64600000000000002</v>
      </c>
      <c r="E2130">
        <v>4.1018882295705698E-10</v>
      </c>
      <c r="F2130">
        <v>3</v>
      </c>
      <c r="G2130" t="s">
        <v>5068</v>
      </c>
      <c r="H2130" t="s">
        <v>5069</v>
      </c>
      <c r="I2130" t="s">
        <v>5068</v>
      </c>
      <c r="J2130" s="1" t="str">
        <f>HYPERLINK("https://zfin.org/ZDB-GENE-040426-2516")</f>
        <v>https://zfin.org/ZDB-GENE-040426-2516</v>
      </c>
      <c r="K2130" t="s">
        <v>5070</v>
      </c>
    </row>
    <row r="2131" spans="1:11" x14ac:dyDescent="0.2">
      <c r="A2131">
        <v>2.6782265533622899E-14</v>
      </c>
      <c r="B2131">
        <v>0.53695959142446403</v>
      </c>
      <c r="C2131">
        <v>0.40400000000000003</v>
      </c>
      <c r="D2131">
        <v>0.123</v>
      </c>
      <c r="E2131">
        <v>4.14669817257083E-10</v>
      </c>
      <c r="F2131">
        <v>3</v>
      </c>
      <c r="G2131" t="s">
        <v>5071</v>
      </c>
      <c r="H2131" t="s">
        <v>5072</v>
      </c>
      <c r="I2131" t="s">
        <v>5071</v>
      </c>
      <c r="J2131" s="1" t="str">
        <f>HYPERLINK("https://zfin.org/ZDB-GENE-030131-1535")</f>
        <v>https://zfin.org/ZDB-GENE-030131-1535</v>
      </c>
      <c r="K2131" t="s">
        <v>5073</v>
      </c>
    </row>
    <row r="2132" spans="1:11" x14ac:dyDescent="0.2">
      <c r="A2132">
        <v>2.8097730991116501E-14</v>
      </c>
      <c r="B2132">
        <v>0.37565025734582902</v>
      </c>
      <c r="C2132">
        <v>0.21299999999999999</v>
      </c>
      <c r="D2132">
        <v>3.7999999999999999E-2</v>
      </c>
      <c r="E2132">
        <v>4.3503716893545602E-10</v>
      </c>
      <c r="F2132">
        <v>3</v>
      </c>
      <c r="G2132" t="s">
        <v>5074</v>
      </c>
      <c r="H2132" t="s">
        <v>5075</v>
      </c>
      <c r="I2132" t="s">
        <v>5074</v>
      </c>
      <c r="J2132" s="1" t="str">
        <f>HYPERLINK("https://zfin.org/ZDB-GENE-030131-9676")</f>
        <v>https://zfin.org/ZDB-GENE-030131-9676</v>
      </c>
      <c r="K2132" t="s">
        <v>5076</v>
      </c>
    </row>
    <row r="2133" spans="1:11" x14ac:dyDescent="0.2">
      <c r="A2133">
        <v>3.60926130080395E-14</v>
      </c>
      <c r="B2133">
        <v>0.33548381214185902</v>
      </c>
      <c r="C2133">
        <v>0.27700000000000002</v>
      </c>
      <c r="D2133">
        <v>6.0999999999999999E-2</v>
      </c>
      <c r="E2133">
        <v>5.5882192720347498E-10</v>
      </c>
      <c r="F2133">
        <v>3</v>
      </c>
      <c r="G2133" t="s">
        <v>5077</v>
      </c>
      <c r="H2133" t="s">
        <v>5078</v>
      </c>
      <c r="I2133" t="s">
        <v>5077</v>
      </c>
      <c r="J2133" s="1" t="str">
        <f>HYPERLINK("https://zfin.org/ZDB-GENE-040912-99")</f>
        <v>https://zfin.org/ZDB-GENE-040912-99</v>
      </c>
      <c r="K2133" t="s">
        <v>5079</v>
      </c>
    </row>
    <row r="2134" spans="1:11" x14ac:dyDescent="0.2">
      <c r="A2134">
        <v>3.9630809518923E-14</v>
      </c>
      <c r="B2134">
        <v>0.38127552671881898</v>
      </c>
      <c r="C2134">
        <v>0.13800000000000001</v>
      </c>
      <c r="D2134">
        <v>1.6E-2</v>
      </c>
      <c r="E2134">
        <v>6.1360382378148501E-10</v>
      </c>
      <c r="F2134">
        <v>3</v>
      </c>
      <c r="G2134" t="s">
        <v>5080</v>
      </c>
      <c r="H2134" t="s">
        <v>5081</v>
      </c>
      <c r="I2134" t="s">
        <v>5080</v>
      </c>
      <c r="J2134" s="1" t="str">
        <f>HYPERLINK("https://zfin.org/ZDB-GENE-020905-3")</f>
        <v>https://zfin.org/ZDB-GENE-020905-3</v>
      </c>
      <c r="K2134" t="s">
        <v>5082</v>
      </c>
    </row>
    <row r="2135" spans="1:11" x14ac:dyDescent="0.2">
      <c r="A2135">
        <v>4.8190798491162403E-14</v>
      </c>
      <c r="B2135">
        <v>0.55171967592956594</v>
      </c>
      <c r="C2135">
        <v>0.35099999999999998</v>
      </c>
      <c r="D2135">
        <v>9.7000000000000003E-2</v>
      </c>
      <c r="E2135">
        <v>7.4613813303866795E-10</v>
      </c>
      <c r="F2135">
        <v>3</v>
      </c>
      <c r="G2135" t="s">
        <v>5083</v>
      </c>
      <c r="H2135" t="s">
        <v>5084</v>
      </c>
      <c r="I2135" t="s">
        <v>5083</v>
      </c>
      <c r="J2135" s="1" t="str">
        <f>HYPERLINK("https://zfin.org/ZDB-GENE-070927-10")</f>
        <v>https://zfin.org/ZDB-GENE-070927-10</v>
      </c>
      <c r="K2135" t="s">
        <v>5085</v>
      </c>
    </row>
    <row r="2136" spans="1:11" x14ac:dyDescent="0.2">
      <c r="A2136">
        <v>4.8345433636731698E-14</v>
      </c>
      <c r="B2136">
        <v>0.49252529095792202</v>
      </c>
      <c r="C2136">
        <v>0.17</v>
      </c>
      <c r="D2136">
        <v>2.5000000000000001E-2</v>
      </c>
      <c r="E2136">
        <v>7.4853234899751699E-10</v>
      </c>
      <c r="F2136">
        <v>3</v>
      </c>
      <c r="G2136" t="s">
        <v>5086</v>
      </c>
      <c r="H2136" t="s">
        <v>5087</v>
      </c>
      <c r="I2136" t="s">
        <v>5086</v>
      </c>
      <c r="J2136" s="1" t="str">
        <f>HYPERLINK("https://zfin.org/ZDB-GENE-030131-9700")</f>
        <v>https://zfin.org/ZDB-GENE-030131-9700</v>
      </c>
      <c r="K2136" t="s">
        <v>5088</v>
      </c>
    </row>
    <row r="2137" spans="1:11" x14ac:dyDescent="0.2">
      <c r="A2137">
        <v>5.1765476974472199E-14</v>
      </c>
      <c r="B2137">
        <v>0.58660787004197201</v>
      </c>
      <c r="C2137">
        <v>0.628</v>
      </c>
      <c r="D2137">
        <v>0.27300000000000002</v>
      </c>
      <c r="E2137">
        <v>8.0148487999575401E-10</v>
      </c>
      <c r="F2137">
        <v>3</v>
      </c>
      <c r="G2137" t="s">
        <v>5089</v>
      </c>
      <c r="H2137" t="s">
        <v>5090</v>
      </c>
      <c r="I2137" t="s">
        <v>5089</v>
      </c>
      <c r="J2137" s="1" t="str">
        <f>HYPERLINK("https://zfin.org/ZDB-GENE-040426-57")</f>
        <v>https://zfin.org/ZDB-GENE-040426-57</v>
      </c>
      <c r="K2137" t="s">
        <v>5091</v>
      </c>
    </row>
    <row r="2138" spans="1:11" x14ac:dyDescent="0.2">
      <c r="A2138">
        <v>7.26147694090448E-14</v>
      </c>
      <c r="B2138">
        <v>0.54593263077118703</v>
      </c>
      <c r="C2138">
        <v>0.88300000000000001</v>
      </c>
      <c r="D2138">
        <v>0.73199999999999998</v>
      </c>
      <c r="E2138">
        <v>1.1242944747602401E-9</v>
      </c>
      <c r="F2138">
        <v>3</v>
      </c>
      <c r="G2138" t="s">
        <v>5092</v>
      </c>
      <c r="H2138" t="s">
        <v>5093</v>
      </c>
      <c r="I2138" t="s">
        <v>5092</v>
      </c>
      <c r="J2138" s="1" t="str">
        <f>HYPERLINK("https://zfin.org/ZDB-GENE-030131-6154")</f>
        <v>https://zfin.org/ZDB-GENE-030131-6154</v>
      </c>
      <c r="K2138" t="s">
        <v>5094</v>
      </c>
    </row>
    <row r="2139" spans="1:11" x14ac:dyDescent="0.2">
      <c r="A2139">
        <v>1.02387548906956E-13</v>
      </c>
      <c r="B2139">
        <v>0.62841865152463905</v>
      </c>
      <c r="C2139">
        <v>0.80900000000000005</v>
      </c>
      <c r="D2139">
        <v>0.49099999999999999</v>
      </c>
      <c r="E2139">
        <v>1.5852664197263999E-9</v>
      </c>
      <c r="F2139">
        <v>3</v>
      </c>
      <c r="G2139" t="s">
        <v>3859</v>
      </c>
      <c r="H2139" t="s">
        <v>3860</v>
      </c>
      <c r="I2139" t="s">
        <v>3859</v>
      </c>
      <c r="J2139" s="1" t="str">
        <f>HYPERLINK("https://zfin.org/ZDB-GENE-040426-1112")</f>
        <v>https://zfin.org/ZDB-GENE-040426-1112</v>
      </c>
      <c r="K2139" t="s">
        <v>3861</v>
      </c>
    </row>
    <row r="2140" spans="1:11" x14ac:dyDescent="0.2">
      <c r="A2140">
        <v>1.2556324865253001E-13</v>
      </c>
      <c r="B2140">
        <v>0.549259811308632</v>
      </c>
      <c r="C2140">
        <v>0.34</v>
      </c>
      <c r="D2140">
        <v>9.5000000000000001E-2</v>
      </c>
      <c r="E2140">
        <v>1.9440957788871201E-9</v>
      </c>
      <c r="F2140">
        <v>3</v>
      </c>
      <c r="G2140" t="s">
        <v>5095</v>
      </c>
      <c r="H2140" t="s">
        <v>5096</v>
      </c>
      <c r="I2140" t="s">
        <v>5095</v>
      </c>
      <c r="J2140" s="1" t="str">
        <f>HYPERLINK("https://zfin.org/ZDB-GENE-990630-13")</f>
        <v>https://zfin.org/ZDB-GENE-990630-13</v>
      </c>
      <c r="K2140" t="s">
        <v>5097</v>
      </c>
    </row>
    <row r="2141" spans="1:11" x14ac:dyDescent="0.2">
      <c r="A2141">
        <v>1.3150153046275801E-13</v>
      </c>
      <c r="B2141">
        <v>0.62758577201241905</v>
      </c>
      <c r="C2141">
        <v>0.78700000000000003</v>
      </c>
      <c r="D2141">
        <v>0.43</v>
      </c>
      <c r="E2141">
        <v>2.0360381961548801E-9</v>
      </c>
      <c r="F2141">
        <v>3</v>
      </c>
      <c r="G2141" t="s">
        <v>5098</v>
      </c>
      <c r="H2141" t="s">
        <v>5099</v>
      </c>
      <c r="I2141" t="s">
        <v>5098</v>
      </c>
      <c r="J2141" s="1" t="str">
        <f>HYPERLINK("https://zfin.org/ZDB-GENE-040426-1819")</f>
        <v>https://zfin.org/ZDB-GENE-040426-1819</v>
      </c>
      <c r="K2141" t="s">
        <v>5100</v>
      </c>
    </row>
    <row r="2142" spans="1:11" x14ac:dyDescent="0.2">
      <c r="A2142">
        <v>1.39382501177399E-13</v>
      </c>
      <c r="B2142">
        <v>0.57438563319494795</v>
      </c>
      <c r="C2142">
        <v>0.71299999999999997</v>
      </c>
      <c r="D2142">
        <v>0.36299999999999999</v>
      </c>
      <c r="E2142">
        <v>2.1580592657296699E-9</v>
      </c>
      <c r="F2142">
        <v>3</v>
      </c>
      <c r="G2142" t="s">
        <v>4076</v>
      </c>
      <c r="H2142" t="s">
        <v>4077</v>
      </c>
      <c r="I2142" t="s">
        <v>4076</v>
      </c>
      <c r="J2142" s="1" t="str">
        <f>HYPERLINK("https://zfin.org/ZDB-GENE-040930-9")</f>
        <v>https://zfin.org/ZDB-GENE-040930-9</v>
      </c>
      <c r="K2142" t="s">
        <v>4078</v>
      </c>
    </row>
    <row r="2143" spans="1:11" x14ac:dyDescent="0.2">
      <c r="A2143">
        <v>1.4501731187701199E-13</v>
      </c>
      <c r="B2143">
        <v>0.65881713203352199</v>
      </c>
      <c r="C2143">
        <v>0.755</v>
      </c>
      <c r="D2143">
        <v>0.40899999999999997</v>
      </c>
      <c r="E2143">
        <v>2.2453030397917701E-9</v>
      </c>
      <c r="F2143">
        <v>3</v>
      </c>
      <c r="G2143" t="s">
        <v>5101</v>
      </c>
      <c r="H2143" t="s">
        <v>5102</v>
      </c>
      <c r="I2143" t="s">
        <v>5101</v>
      </c>
      <c r="J2143" s="1" t="str">
        <f>HYPERLINK("https://zfin.org/ZDB-GENE-030131-1600")</f>
        <v>https://zfin.org/ZDB-GENE-030131-1600</v>
      </c>
      <c r="K2143" t="s">
        <v>5103</v>
      </c>
    </row>
    <row r="2144" spans="1:11" x14ac:dyDescent="0.2">
      <c r="A2144">
        <v>1.5336526394520799E-13</v>
      </c>
      <c r="B2144">
        <v>0.40084670461402</v>
      </c>
      <c r="C2144">
        <v>0.21299999999999999</v>
      </c>
      <c r="D2144">
        <v>4.1000000000000002E-2</v>
      </c>
      <c r="E2144">
        <v>2.3745543816636599E-9</v>
      </c>
      <c r="F2144">
        <v>3</v>
      </c>
      <c r="G2144" t="s">
        <v>5104</v>
      </c>
      <c r="H2144" t="s">
        <v>5105</v>
      </c>
      <c r="I2144" t="s">
        <v>5104</v>
      </c>
      <c r="J2144" s="1" t="str">
        <f>HYPERLINK("https://zfin.org/ZDB-GENE-050306-29")</f>
        <v>https://zfin.org/ZDB-GENE-050306-29</v>
      </c>
      <c r="K2144" t="s">
        <v>5106</v>
      </c>
    </row>
    <row r="2145" spans="1:11" x14ac:dyDescent="0.2">
      <c r="A2145">
        <v>1.74714141377009E-13</v>
      </c>
      <c r="B2145">
        <v>0.26372523852875801</v>
      </c>
      <c r="C2145">
        <v>0.13800000000000001</v>
      </c>
      <c r="D2145">
        <v>1.7000000000000001E-2</v>
      </c>
      <c r="E2145">
        <v>2.70509905094022E-9</v>
      </c>
      <c r="F2145">
        <v>3</v>
      </c>
      <c r="G2145" t="s">
        <v>5107</v>
      </c>
      <c r="H2145" t="s">
        <v>5108</v>
      </c>
      <c r="I2145" t="s">
        <v>5107</v>
      </c>
      <c r="J2145" s="1" t="str">
        <f>HYPERLINK("https://zfin.org/ZDB-GENE-040426-745")</f>
        <v>https://zfin.org/ZDB-GENE-040426-745</v>
      </c>
      <c r="K2145" t="s">
        <v>5109</v>
      </c>
    </row>
    <row r="2146" spans="1:11" x14ac:dyDescent="0.2">
      <c r="A2146">
        <v>1.7499866639680899E-13</v>
      </c>
      <c r="B2146">
        <v>0.35850564712913402</v>
      </c>
      <c r="C2146">
        <v>0.17</v>
      </c>
      <c r="D2146">
        <v>2.5999999999999999E-2</v>
      </c>
      <c r="E2146">
        <v>2.70950435182179E-9</v>
      </c>
      <c r="F2146">
        <v>3</v>
      </c>
      <c r="G2146" t="s">
        <v>5110</v>
      </c>
      <c r="H2146" t="s">
        <v>5111</v>
      </c>
      <c r="I2146" t="s">
        <v>5110</v>
      </c>
      <c r="J2146" s="1" t="str">
        <f>HYPERLINK("https://zfin.org/ZDB-GENE-050320-116")</f>
        <v>https://zfin.org/ZDB-GENE-050320-116</v>
      </c>
      <c r="K2146" t="s">
        <v>5112</v>
      </c>
    </row>
    <row r="2147" spans="1:11" x14ac:dyDescent="0.2">
      <c r="A2147">
        <v>2.0284526427684899E-13</v>
      </c>
      <c r="B2147">
        <v>0.30432395739123902</v>
      </c>
      <c r="C2147">
        <v>0.191</v>
      </c>
      <c r="D2147">
        <v>3.3000000000000002E-2</v>
      </c>
      <c r="E2147">
        <v>3.1406532267984599E-9</v>
      </c>
      <c r="F2147">
        <v>3</v>
      </c>
      <c r="G2147" t="s">
        <v>5113</v>
      </c>
      <c r="H2147" t="s">
        <v>5114</v>
      </c>
      <c r="I2147" t="s">
        <v>5113</v>
      </c>
      <c r="J2147" s="1" t="str">
        <f>HYPERLINK("https://zfin.org/ZDB-GENE-040426-2757")</f>
        <v>https://zfin.org/ZDB-GENE-040426-2757</v>
      </c>
      <c r="K2147" t="s">
        <v>5115</v>
      </c>
    </row>
    <row r="2148" spans="1:11" x14ac:dyDescent="0.2">
      <c r="A2148">
        <v>2.49263355272343E-13</v>
      </c>
      <c r="B2148">
        <v>0.31467004769411699</v>
      </c>
      <c r="C2148">
        <v>0.20200000000000001</v>
      </c>
      <c r="D2148">
        <v>3.5999999999999997E-2</v>
      </c>
      <c r="E2148">
        <v>3.8593445296816804E-9</v>
      </c>
      <c r="F2148">
        <v>3</v>
      </c>
      <c r="G2148" t="s">
        <v>5116</v>
      </c>
      <c r="H2148" t="s">
        <v>5117</v>
      </c>
      <c r="I2148" t="s">
        <v>5116</v>
      </c>
      <c r="J2148" s="1" t="str">
        <f>HYPERLINK("https://zfin.org/ZDB-GENE-070410-106")</f>
        <v>https://zfin.org/ZDB-GENE-070410-106</v>
      </c>
      <c r="K2148" t="s">
        <v>5118</v>
      </c>
    </row>
    <row r="2149" spans="1:11" x14ac:dyDescent="0.2">
      <c r="A2149">
        <v>6.1389511396490995E-13</v>
      </c>
      <c r="B2149">
        <v>0.41755591076058601</v>
      </c>
      <c r="C2149">
        <v>0.98899999999999999</v>
      </c>
      <c r="D2149">
        <v>0.96699999999999997</v>
      </c>
      <c r="E2149">
        <v>9.5049380495187007E-9</v>
      </c>
      <c r="F2149">
        <v>3</v>
      </c>
      <c r="G2149" t="s">
        <v>1071</v>
      </c>
      <c r="H2149" t="s">
        <v>1072</v>
      </c>
      <c r="I2149" t="s">
        <v>1071</v>
      </c>
      <c r="J2149" s="1" t="str">
        <f>HYPERLINK("https://zfin.org/ZDB-GENE-070327-2")</f>
        <v>https://zfin.org/ZDB-GENE-070327-2</v>
      </c>
      <c r="K2149" t="s">
        <v>1073</v>
      </c>
    </row>
    <row r="2150" spans="1:11" x14ac:dyDescent="0.2">
      <c r="A2150">
        <v>6.4436384585760702E-13</v>
      </c>
      <c r="B2150">
        <v>0.51572317703760695</v>
      </c>
      <c r="C2150">
        <v>0.52100000000000002</v>
      </c>
      <c r="D2150">
        <v>0.19700000000000001</v>
      </c>
      <c r="E2150">
        <v>9.9766854254133306E-9</v>
      </c>
      <c r="F2150">
        <v>3</v>
      </c>
      <c r="G2150" t="s">
        <v>5119</v>
      </c>
      <c r="H2150" t="s">
        <v>5120</v>
      </c>
      <c r="I2150" t="s">
        <v>5119</v>
      </c>
      <c r="J2150" s="1" t="str">
        <f>HYPERLINK("https://zfin.org/")</f>
        <v>https://zfin.org/</v>
      </c>
    </row>
    <row r="2151" spans="1:11" x14ac:dyDescent="0.2">
      <c r="A2151">
        <v>7.2287776528723098E-13</v>
      </c>
      <c r="B2151">
        <v>0.46204361771182401</v>
      </c>
      <c r="C2151">
        <v>0.36199999999999999</v>
      </c>
      <c r="D2151">
        <v>0.108</v>
      </c>
      <c r="E2151">
        <v>1.1192316439942199E-8</v>
      </c>
      <c r="F2151">
        <v>3</v>
      </c>
      <c r="G2151" t="s">
        <v>5121</v>
      </c>
      <c r="H2151" t="s">
        <v>5122</v>
      </c>
      <c r="I2151" t="s">
        <v>5121</v>
      </c>
      <c r="J2151" s="1" t="str">
        <f>HYPERLINK("https://zfin.org/ZDB-GENE-040426-1773")</f>
        <v>https://zfin.org/ZDB-GENE-040426-1773</v>
      </c>
      <c r="K2151" t="s">
        <v>5123</v>
      </c>
    </row>
    <row r="2152" spans="1:11" x14ac:dyDescent="0.2">
      <c r="A2152">
        <v>7.7118724229582304E-13</v>
      </c>
      <c r="B2152">
        <v>0.31358431929879899</v>
      </c>
      <c r="C2152">
        <v>0.11700000000000001</v>
      </c>
      <c r="D2152">
        <v>1.2999999999999999E-2</v>
      </c>
      <c r="E2152">
        <v>1.19402920724662E-8</v>
      </c>
      <c r="F2152">
        <v>3</v>
      </c>
      <c r="G2152" t="s">
        <v>5124</v>
      </c>
      <c r="H2152" t="s">
        <v>5125</v>
      </c>
      <c r="I2152" t="s">
        <v>5124</v>
      </c>
      <c r="J2152" s="1" t="str">
        <f>HYPERLINK("https://zfin.org/")</f>
        <v>https://zfin.org/</v>
      </c>
      <c r="K2152" t="s">
        <v>5126</v>
      </c>
    </row>
    <row r="2153" spans="1:11" x14ac:dyDescent="0.2">
      <c r="A2153">
        <v>1.0085979810631099E-12</v>
      </c>
      <c r="B2153">
        <v>-0.64315234348466399</v>
      </c>
      <c r="C2153">
        <v>0.96799999999999997</v>
      </c>
      <c r="D2153">
        <v>0.97099999999999997</v>
      </c>
      <c r="E2153">
        <v>1.5616122540800201E-8</v>
      </c>
      <c r="F2153">
        <v>3</v>
      </c>
      <c r="G2153" t="s">
        <v>1092</v>
      </c>
      <c r="H2153" t="s">
        <v>1093</v>
      </c>
      <c r="I2153" t="s">
        <v>1092</v>
      </c>
      <c r="J2153" s="1" t="str">
        <f>HYPERLINK("https://zfin.org/ZDB-GENE-040718-72")</f>
        <v>https://zfin.org/ZDB-GENE-040718-72</v>
      </c>
      <c r="K2153" t="s">
        <v>1094</v>
      </c>
    </row>
    <row r="2154" spans="1:11" x14ac:dyDescent="0.2">
      <c r="A2154">
        <v>1.3097048580768699E-12</v>
      </c>
      <c r="B2154">
        <v>0.512765599151078</v>
      </c>
      <c r="C2154">
        <v>0.34</v>
      </c>
      <c r="D2154">
        <v>0.1</v>
      </c>
      <c r="E2154">
        <v>2.0278160317604201E-8</v>
      </c>
      <c r="F2154">
        <v>3</v>
      </c>
      <c r="G2154" t="s">
        <v>5127</v>
      </c>
      <c r="H2154" t="s">
        <v>5128</v>
      </c>
      <c r="I2154" t="s">
        <v>5127</v>
      </c>
      <c r="J2154" s="1" t="str">
        <f>HYPERLINK("https://zfin.org/ZDB-GENE-030131-263")</f>
        <v>https://zfin.org/ZDB-GENE-030131-263</v>
      </c>
      <c r="K2154" t="s">
        <v>5129</v>
      </c>
    </row>
    <row r="2155" spans="1:11" x14ac:dyDescent="0.2">
      <c r="A2155">
        <v>1.33439243385E-12</v>
      </c>
      <c r="B2155">
        <v>0.33192071509732202</v>
      </c>
      <c r="C2155">
        <v>0.98899999999999999</v>
      </c>
      <c r="D2155">
        <v>0.99199999999999999</v>
      </c>
      <c r="E2155">
        <v>2.0660398053299501E-8</v>
      </c>
      <c r="F2155">
        <v>3</v>
      </c>
      <c r="G2155" t="s">
        <v>1315</v>
      </c>
      <c r="H2155" t="s">
        <v>1316</v>
      </c>
      <c r="I2155" t="s">
        <v>1315</v>
      </c>
      <c r="J2155" s="1" t="str">
        <f>HYPERLINK("https://zfin.org/ZDB-GENE-040426-2284")</f>
        <v>https://zfin.org/ZDB-GENE-040426-2284</v>
      </c>
      <c r="K2155" t="s">
        <v>1317</v>
      </c>
    </row>
    <row r="2156" spans="1:11" x14ac:dyDescent="0.2">
      <c r="A2156">
        <v>1.4357333922131999E-12</v>
      </c>
      <c r="B2156">
        <v>0.49875260298095297</v>
      </c>
      <c r="C2156">
        <v>0.52100000000000002</v>
      </c>
      <c r="D2156">
        <v>0.20699999999999999</v>
      </c>
      <c r="E2156">
        <v>2.2229460111637001E-8</v>
      </c>
      <c r="F2156">
        <v>3</v>
      </c>
      <c r="G2156" t="s">
        <v>5130</v>
      </c>
      <c r="H2156" t="s">
        <v>5131</v>
      </c>
      <c r="I2156" t="s">
        <v>5130</v>
      </c>
      <c r="J2156" s="1" t="str">
        <f>HYPERLINK("https://zfin.org/ZDB-GENE-040426-1714")</f>
        <v>https://zfin.org/ZDB-GENE-040426-1714</v>
      </c>
      <c r="K2156" t="s">
        <v>5132</v>
      </c>
    </row>
    <row r="2157" spans="1:11" x14ac:dyDescent="0.2">
      <c r="A2157">
        <v>1.4648303748060899E-12</v>
      </c>
      <c r="B2157">
        <v>0.283688082642858</v>
      </c>
      <c r="C2157">
        <v>0.21299999999999999</v>
      </c>
      <c r="D2157">
        <v>4.2000000000000003E-2</v>
      </c>
      <c r="E2157">
        <v>2.2679968693122599E-8</v>
      </c>
      <c r="F2157">
        <v>3</v>
      </c>
      <c r="G2157" t="s">
        <v>5133</v>
      </c>
      <c r="H2157" t="s">
        <v>5134</v>
      </c>
      <c r="I2157" t="s">
        <v>5133</v>
      </c>
      <c r="J2157" s="1" t="str">
        <f>HYPERLINK("https://zfin.org/ZDB-GENE-050506-57")</f>
        <v>https://zfin.org/ZDB-GENE-050506-57</v>
      </c>
      <c r="K2157" t="s">
        <v>5135</v>
      </c>
    </row>
    <row r="2158" spans="1:11" x14ac:dyDescent="0.2">
      <c r="A2158">
        <v>1.55776331631372E-12</v>
      </c>
      <c r="B2158">
        <v>0.77432003501998403</v>
      </c>
      <c r="C2158">
        <v>0.60599999999999998</v>
      </c>
      <c r="D2158">
        <v>0.27800000000000002</v>
      </c>
      <c r="E2158">
        <v>2.4118849426485401E-8</v>
      </c>
      <c r="F2158">
        <v>3</v>
      </c>
      <c r="G2158" t="s">
        <v>5136</v>
      </c>
      <c r="H2158" t="s">
        <v>5137</v>
      </c>
      <c r="I2158" t="s">
        <v>5136</v>
      </c>
      <c r="J2158" s="1" t="str">
        <f>HYPERLINK("https://zfin.org/ZDB-GENE-110411-139")</f>
        <v>https://zfin.org/ZDB-GENE-110411-139</v>
      </c>
      <c r="K2158" t="s">
        <v>5138</v>
      </c>
    </row>
    <row r="2159" spans="1:11" x14ac:dyDescent="0.2">
      <c r="A2159">
        <v>1.69159611292749E-12</v>
      </c>
      <c r="B2159">
        <v>0.45693951817603001</v>
      </c>
      <c r="C2159">
        <v>0.91500000000000004</v>
      </c>
      <c r="D2159">
        <v>0.78400000000000003</v>
      </c>
      <c r="E2159">
        <v>2.6190982616456401E-8</v>
      </c>
      <c r="F2159">
        <v>3</v>
      </c>
      <c r="G2159" t="s">
        <v>3269</v>
      </c>
      <c r="H2159" t="s">
        <v>3270</v>
      </c>
      <c r="I2159" t="s">
        <v>3269</v>
      </c>
      <c r="J2159" s="1" t="str">
        <f>HYPERLINK("https://zfin.org/ZDB-GENE-000210-25")</f>
        <v>https://zfin.org/ZDB-GENE-000210-25</v>
      </c>
      <c r="K2159" t="s">
        <v>3271</v>
      </c>
    </row>
    <row r="2160" spans="1:11" x14ac:dyDescent="0.2">
      <c r="A2160">
        <v>2.7061079776777001E-12</v>
      </c>
      <c r="B2160">
        <v>0.25384215633345403</v>
      </c>
      <c r="C2160">
        <v>0.11700000000000001</v>
      </c>
      <c r="D2160">
        <v>1.2999999999999999E-2</v>
      </c>
      <c r="E2160">
        <v>4.1898669818383799E-8</v>
      </c>
      <c r="F2160">
        <v>3</v>
      </c>
      <c r="G2160" t="s">
        <v>5139</v>
      </c>
      <c r="H2160" t="s">
        <v>5140</v>
      </c>
      <c r="I2160" t="s">
        <v>5139</v>
      </c>
      <c r="J2160" s="1" t="str">
        <f>HYPERLINK("https://zfin.org/ZDB-GENE-041111-264")</f>
        <v>https://zfin.org/ZDB-GENE-041111-264</v>
      </c>
      <c r="K2160" t="s">
        <v>5141</v>
      </c>
    </row>
    <row r="2161" spans="1:11" x14ac:dyDescent="0.2">
      <c r="A2161">
        <v>2.9341803088170701E-12</v>
      </c>
      <c r="B2161">
        <v>0.27312984906138099</v>
      </c>
      <c r="C2161">
        <v>0.128</v>
      </c>
      <c r="D2161">
        <v>1.6E-2</v>
      </c>
      <c r="E2161">
        <v>4.5429913721414698E-8</v>
      </c>
      <c r="F2161">
        <v>3</v>
      </c>
      <c r="G2161" t="s">
        <v>5142</v>
      </c>
      <c r="H2161" t="s">
        <v>5143</v>
      </c>
      <c r="I2161" t="s">
        <v>5142</v>
      </c>
      <c r="J2161" s="1" t="str">
        <f>HYPERLINK("https://zfin.org/ZDB-GENE-060929-348")</f>
        <v>https://zfin.org/ZDB-GENE-060929-348</v>
      </c>
      <c r="K2161" t="s">
        <v>5144</v>
      </c>
    </row>
    <row r="2162" spans="1:11" x14ac:dyDescent="0.2">
      <c r="A2162">
        <v>5.4325590449142503E-12</v>
      </c>
      <c r="B2162">
        <v>0.39006122825539302</v>
      </c>
      <c r="C2162">
        <v>0.21299999999999999</v>
      </c>
      <c r="D2162">
        <v>4.5999999999999999E-2</v>
      </c>
      <c r="E2162">
        <v>8.4112311692407303E-8</v>
      </c>
      <c r="F2162">
        <v>3</v>
      </c>
      <c r="G2162" t="s">
        <v>5145</v>
      </c>
      <c r="H2162" t="s">
        <v>5146</v>
      </c>
      <c r="I2162" t="s">
        <v>5145</v>
      </c>
      <c r="J2162" s="1" t="str">
        <f>HYPERLINK("https://zfin.org/ZDB-GENE-050417-446")</f>
        <v>https://zfin.org/ZDB-GENE-050417-446</v>
      </c>
      <c r="K2162" t="s">
        <v>5147</v>
      </c>
    </row>
    <row r="2163" spans="1:11" x14ac:dyDescent="0.2">
      <c r="A2163">
        <v>5.8204478559811102E-12</v>
      </c>
      <c r="B2163">
        <v>0.37569021471879099</v>
      </c>
      <c r="C2163">
        <v>0.13800000000000001</v>
      </c>
      <c r="D2163">
        <v>0.02</v>
      </c>
      <c r="E2163">
        <v>9.0117994154155501E-8</v>
      </c>
      <c r="F2163">
        <v>3</v>
      </c>
      <c r="G2163" t="s">
        <v>5148</v>
      </c>
      <c r="H2163" t="s">
        <v>5149</v>
      </c>
      <c r="I2163" t="s">
        <v>5148</v>
      </c>
      <c r="J2163" s="1" t="str">
        <f>HYPERLINK("https://zfin.org/ZDB-GENE-021030-2")</f>
        <v>https://zfin.org/ZDB-GENE-021030-2</v>
      </c>
      <c r="K2163" t="s">
        <v>5150</v>
      </c>
    </row>
    <row r="2164" spans="1:11" x14ac:dyDescent="0.2">
      <c r="A2164">
        <v>5.9107771504540599E-12</v>
      </c>
      <c r="B2164">
        <v>0.52799664662635104</v>
      </c>
      <c r="C2164">
        <v>0.46800000000000003</v>
      </c>
      <c r="D2164">
        <v>0.17699999999999999</v>
      </c>
      <c r="E2164">
        <v>9.1516562620480298E-8</v>
      </c>
      <c r="F2164">
        <v>3</v>
      </c>
      <c r="G2164" t="s">
        <v>5151</v>
      </c>
      <c r="H2164" t="s">
        <v>5152</v>
      </c>
      <c r="I2164" t="s">
        <v>5151</v>
      </c>
      <c r="J2164" s="1" t="str">
        <f>HYPERLINK("https://zfin.org/ZDB-GENE-030616-161")</f>
        <v>https://zfin.org/ZDB-GENE-030616-161</v>
      </c>
      <c r="K2164" t="s">
        <v>5153</v>
      </c>
    </row>
    <row r="2165" spans="1:11" x14ac:dyDescent="0.2">
      <c r="A2165">
        <v>5.9701782420456197E-12</v>
      </c>
      <c r="B2165">
        <v>0.67085076386369402</v>
      </c>
      <c r="C2165">
        <v>0.64900000000000002</v>
      </c>
      <c r="D2165">
        <v>0.35899999999999999</v>
      </c>
      <c r="E2165">
        <v>9.2436269721592296E-8</v>
      </c>
      <c r="F2165">
        <v>3</v>
      </c>
      <c r="G2165" t="s">
        <v>5154</v>
      </c>
      <c r="H2165" t="s">
        <v>5155</v>
      </c>
      <c r="I2165" t="s">
        <v>5154</v>
      </c>
      <c r="J2165" s="1" t="str">
        <f>HYPERLINK("https://zfin.org/ZDB-GENE-030131-994")</f>
        <v>https://zfin.org/ZDB-GENE-030131-994</v>
      </c>
      <c r="K2165" t="s">
        <v>5156</v>
      </c>
    </row>
    <row r="2166" spans="1:11" x14ac:dyDescent="0.2">
      <c r="A2166">
        <v>6.1037607834405896E-12</v>
      </c>
      <c r="B2166">
        <v>0.71434955234220898</v>
      </c>
      <c r="C2166">
        <v>0.53200000000000003</v>
      </c>
      <c r="D2166">
        <v>0.23400000000000001</v>
      </c>
      <c r="E2166">
        <v>9.4504528210010603E-8</v>
      </c>
      <c r="F2166">
        <v>3</v>
      </c>
      <c r="G2166" t="s">
        <v>5157</v>
      </c>
      <c r="H2166" t="s">
        <v>5158</v>
      </c>
      <c r="I2166" t="s">
        <v>5157</v>
      </c>
      <c r="J2166" s="1" t="str">
        <f>HYPERLINK("https://zfin.org/ZDB-GENE-030219-51")</f>
        <v>https://zfin.org/ZDB-GENE-030219-51</v>
      </c>
      <c r="K2166" t="s">
        <v>5159</v>
      </c>
    </row>
    <row r="2167" spans="1:11" x14ac:dyDescent="0.2">
      <c r="A2167">
        <v>6.58072660067873E-12</v>
      </c>
      <c r="B2167">
        <v>0.58538745192198405</v>
      </c>
      <c r="C2167">
        <v>0.51100000000000001</v>
      </c>
      <c r="D2167">
        <v>0.21099999999999999</v>
      </c>
      <c r="E2167">
        <v>1.01889389958309E-7</v>
      </c>
      <c r="F2167">
        <v>3</v>
      </c>
      <c r="G2167" t="s">
        <v>2338</v>
      </c>
      <c r="H2167" t="s">
        <v>2339</v>
      </c>
      <c r="I2167" t="s">
        <v>2338</v>
      </c>
      <c r="J2167" s="1" t="str">
        <f>HYPERLINK("https://zfin.org/ZDB-GENE-050522-309")</f>
        <v>https://zfin.org/ZDB-GENE-050522-309</v>
      </c>
      <c r="K2167" t="s">
        <v>2340</v>
      </c>
    </row>
    <row r="2168" spans="1:11" x14ac:dyDescent="0.2">
      <c r="A2168">
        <v>6.74060300807835E-12</v>
      </c>
      <c r="B2168">
        <v>0.54958520031624802</v>
      </c>
      <c r="C2168">
        <v>0.42599999999999999</v>
      </c>
      <c r="D2168">
        <v>0.156</v>
      </c>
      <c r="E2168">
        <v>1.04364756374077E-7</v>
      </c>
      <c r="F2168">
        <v>3</v>
      </c>
      <c r="G2168" t="s">
        <v>5160</v>
      </c>
      <c r="H2168" t="s">
        <v>5161</v>
      </c>
      <c r="I2168" t="s">
        <v>5160</v>
      </c>
      <c r="J2168" s="1" t="str">
        <f>HYPERLINK("https://zfin.org/ZDB-GENE-020419-28")</f>
        <v>https://zfin.org/ZDB-GENE-020419-28</v>
      </c>
      <c r="K2168" t="s">
        <v>5162</v>
      </c>
    </row>
    <row r="2169" spans="1:11" x14ac:dyDescent="0.2">
      <c r="A2169">
        <v>7.1900755598201298E-12</v>
      </c>
      <c r="B2169">
        <v>0.49507769535950902</v>
      </c>
      <c r="C2169">
        <v>0.38300000000000001</v>
      </c>
      <c r="D2169">
        <v>0.129</v>
      </c>
      <c r="E2169">
        <v>1.11323939892695E-7</v>
      </c>
      <c r="F2169">
        <v>3</v>
      </c>
      <c r="G2169" t="s">
        <v>5163</v>
      </c>
      <c r="H2169" t="s">
        <v>5164</v>
      </c>
      <c r="I2169" t="s">
        <v>5163</v>
      </c>
      <c r="J2169" s="1" t="str">
        <f>HYPERLINK("https://zfin.org/ZDB-GENE-030131-4945")</f>
        <v>https://zfin.org/ZDB-GENE-030131-4945</v>
      </c>
      <c r="K2169" t="s">
        <v>5165</v>
      </c>
    </row>
    <row r="2170" spans="1:11" x14ac:dyDescent="0.2">
      <c r="A2170">
        <v>9.2470888052890995E-12</v>
      </c>
      <c r="B2170">
        <v>0.60083116097475497</v>
      </c>
      <c r="C2170">
        <v>0.76600000000000001</v>
      </c>
      <c r="D2170">
        <v>0.47199999999999998</v>
      </c>
      <c r="E2170">
        <v>1.4317267597229101E-7</v>
      </c>
      <c r="F2170">
        <v>3</v>
      </c>
      <c r="G2170" t="s">
        <v>5166</v>
      </c>
      <c r="H2170" t="s">
        <v>5167</v>
      </c>
      <c r="I2170" t="s">
        <v>5166</v>
      </c>
      <c r="J2170" s="1" t="str">
        <f>HYPERLINK("https://zfin.org/ZDB-GENE-030131-7850")</f>
        <v>https://zfin.org/ZDB-GENE-030131-7850</v>
      </c>
      <c r="K2170" t="s">
        <v>5168</v>
      </c>
    </row>
    <row r="2171" spans="1:11" x14ac:dyDescent="0.2">
      <c r="A2171">
        <v>1.09905639074684E-11</v>
      </c>
      <c r="B2171">
        <v>0.35459924723955699</v>
      </c>
      <c r="C2171">
        <v>0.21299999999999999</v>
      </c>
      <c r="D2171">
        <v>4.5999999999999999E-2</v>
      </c>
      <c r="E2171">
        <v>1.7016690097933301E-7</v>
      </c>
      <c r="F2171">
        <v>3</v>
      </c>
      <c r="G2171" t="s">
        <v>5169</v>
      </c>
      <c r="H2171" t="s">
        <v>5170</v>
      </c>
      <c r="I2171" t="s">
        <v>5169</v>
      </c>
      <c r="J2171" s="1" t="str">
        <f>HYPERLINK("https://zfin.org/ZDB-GENE-030131-740")</f>
        <v>https://zfin.org/ZDB-GENE-030131-740</v>
      </c>
      <c r="K2171" t="s">
        <v>5171</v>
      </c>
    </row>
    <row r="2172" spans="1:11" x14ac:dyDescent="0.2">
      <c r="A2172">
        <v>1.3372397332525099E-11</v>
      </c>
      <c r="B2172">
        <v>0.573100070472503</v>
      </c>
      <c r="C2172">
        <v>0.79800000000000004</v>
      </c>
      <c r="D2172">
        <v>0.51400000000000001</v>
      </c>
      <c r="E2172">
        <v>2.0704482789948601E-7</v>
      </c>
      <c r="F2172">
        <v>3</v>
      </c>
      <c r="G2172" t="s">
        <v>4094</v>
      </c>
      <c r="H2172" t="s">
        <v>4095</v>
      </c>
      <c r="I2172" t="s">
        <v>4094</v>
      </c>
      <c r="J2172" s="1" t="str">
        <f>HYPERLINK("https://zfin.org/ZDB-GENE-071005-2")</f>
        <v>https://zfin.org/ZDB-GENE-071005-2</v>
      </c>
      <c r="K2172" t="s">
        <v>4096</v>
      </c>
    </row>
    <row r="2173" spans="1:11" x14ac:dyDescent="0.2">
      <c r="A2173">
        <v>1.3555717024185199E-11</v>
      </c>
      <c r="B2173">
        <v>0.33451069406394701</v>
      </c>
      <c r="C2173">
        <v>0.51100000000000001</v>
      </c>
      <c r="D2173">
        <v>0.185</v>
      </c>
      <c r="E2173">
        <v>2.09883166685459E-7</v>
      </c>
      <c r="F2173">
        <v>3</v>
      </c>
      <c r="G2173" t="s">
        <v>5172</v>
      </c>
      <c r="H2173" t="s">
        <v>5173</v>
      </c>
      <c r="I2173" t="s">
        <v>5172</v>
      </c>
      <c r="J2173" s="1" t="str">
        <f>HYPERLINK("https://zfin.org/ZDB-GENE-131127-337")</f>
        <v>https://zfin.org/ZDB-GENE-131127-337</v>
      </c>
      <c r="K2173" t="s">
        <v>5174</v>
      </c>
    </row>
    <row r="2174" spans="1:11" x14ac:dyDescent="0.2">
      <c r="A2174">
        <v>1.54899858889098E-11</v>
      </c>
      <c r="B2174">
        <v>0.57871405233343498</v>
      </c>
      <c r="C2174">
        <v>0.28699999999999998</v>
      </c>
      <c r="D2174">
        <v>7.9000000000000001E-2</v>
      </c>
      <c r="E2174">
        <v>2.3983145151799E-7</v>
      </c>
      <c r="F2174">
        <v>3</v>
      </c>
      <c r="G2174" t="s">
        <v>5175</v>
      </c>
      <c r="H2174" t="s">
        <v>5176</v>
      </c>
      <c r="I2174" t="s">
        <v>5175</v>
      </c>
      <c r="J2174" s="1" t="str">
        <f>HYPERLINK("https://zfin.org/ZDB-GENE-020419-24")</f>
        <v>https://zfin.org/ZDB-GENE-020419-24</v>
      </c>
      <c r="K2174" t="s">
        <v>5177</v>
      </c>
    </row>
    <row r="2175" spans="1:11" x14ac:dyDescent="0.2">
      <c r="A2175">
        <v>1.59148786404598E-11</v>
      </c>
      <c r="B2175">
        <v>0.27440123348492301</v>
      </c>
      <c r="C2175">
        <v>0.13800000000000001</v>
      </c>
      <c r="D2175">
        <v>0.02</v>
      </c>
      <c r="E2175">
        <v>2.4641006599023998E-7</v>
      </c>
      <c r="F2175">
        <v>3</v>
      </c>
      <c r="G2175" t="s">
        <v>5178</v>
      </c>
      <c r="H2175" t="s">
        <v>5179</v>
      </c>
      <c r="I2175" t="s">
        <v>5178</v>
      </c>
      <c r="J2175" s="1" t="str">
        <f>HYPERLINK("https://zfin.org/ZDB-GENE-030131-3271")</f>
        <v>https://zfin.org/ZDB-GENE-030131-3271</v>
      </c>
      <c r="K2175" t="s">
        <v>5180</v>
      </c>
    </row>
    <row r="2176" spans="1:11" x14ac:dyDescent="0.2">
      <c r="A2176">
        <v>1.6509443556193101E-11</v>
      </c>
      <c r="B2176">
        <v>0.50415694650402698</v>
      </c>
      <c r="C2176">
        <v>0.38300000000000001</v>
      </c>
      <c r="D2176">
        <v>0.13200000000000001</v>
      </c>
      <c r="E2176">
        <v>2.5561571458053798E-7</v>
      </c>
      <c r="F2176">
        <v>3</v>
      </c>
      <c r="G2176" t="s">
        <v>5181</v>
      </c>
      <c r="H2176" t="s">
        <v>5182</v>
      </c>
      <c r="I2176" t="s">
        <v>5181</v>
      </c>
      <c r="J2176" s="1" t="str">
        <f>HYPERLINK("https://zfin.org/ZDB-GENE-030425-4")</f>
        <v>https://zfin.org/ZDB-GENE-030425-4</v>
      </c>
      <c r="K2176" t="s">
        <v>5183</v>
      </c>
    </row>
    <row r="2177" spans="1:11" x14ac:dyDescent="0.2">
      <c r="A2177">
        <v>1.7185907452036401E-11</v>
      </c>
      <c r="B2177">
        <v>0.26369693476775202</v>
      </c>
      <c r="C2177">
        <v>0.21299999999999999</v>
      </c>
      <c r="D2177">
        <v>4.5999999999999999E-2</v>
      </c>
      <c r="E2177">
        <v>2.6608940507988001E-7</v>
      </c>
      <c r="F2177">
        <v>3</v>
      </c>
      <c r="G2177" t="s">
        <v>5184</v>
      </c>
      <c r="H2177" t="s">
        <v>5185</v>
      </c>
      <c r="I2177" t="s">
        <v>5184</v>
      </c>
      <c r="J2177" s="1" t="str">
        <f>HYPERLINK("https://zfin.org/ZDB-GENE-040311-1")</f>
        <v>https://zfin.org/ZDB-GENE-040311-1</v>
      </c>
      <c r="K2177" t="s">
        <v>5186</v>
      </c>
    </row>
    <row r="2178" spans="1:11" x14ac:dyDescent="0.2">
      <c r="A2178">
        <v>2.1208323331687E-11</v>
      </c>
      <c r="B2178">
        <v>0.25467598033519401</v>
      </c>
      <c r="C2178">
        <v>1</v>
      </c>
      <c r="D2178">
        <v>0.999</v>
      </c>
      <c r="E2178">
        <v>3.2836847014450899E-7</v>
      </c>
      <c r="F2178">
        <v>3</v>
      </c>
      <c r="G2178" t="s">
        <v>818</v>
      </c>
      <c r="H2178" t="s">
        <v>819</v>
      </c>
      <c r="I2178" t="s">
        <v>818</v>
      </c>
      <c r="J2178" s="1" t="str">
        <f>HYPERLINK("https://zfin.org/ZDB-GENE-030131-7528")</f>
        <v>https://zfin.org/ZDB-GENE-030131-7528</v>
      </c>
      <c r="K2178" t="s">
        <v>820</v>
      </c>
    </row>
    <row r="2179" spans="1:11" x14ac:dyDescent="0.2">
      <c r="A2179">
        <v>2.5127722421025101E-11</v>
      </c>
      <c r="B2179">
        <v>0.428305965785236</v>
      </c>
      <c r="C2179">
        <v>0.39400000000000002</v>
      </c>
      <c r="D2179">
        <v>0.13</v>
      </c>
      <c r="E2179">
        <v>3.8905252624473102E-7</v>
      </c>
      <c r="F2179">
        <v>3</v>
      </c>
      <c r="G2179" t="s">
        <v>5187</v>
      </c>
      <c r="H2179" t="s">
        <v>5188</v>
      </c>
      <c r="I2179" t="s">
        <v>5187</v>
      </c>
      <c r="J2179" s="1" t="str">
        <f>HYPERLINK("https://zfin.org/ZDB-GENE-050517-31")</f>
        <v>https://zfin.org/ZDB-GENE-050517-31</v>
      </c>
      <c r="K2179" t="s">
        <v>5189</v>
      </c>
    </row>
    <row r="2180" spans="1:11" x14ac:dyDescent="0.2">
      <c r="A2180">
        <v>2.9696028285593502E-11</v>
      </c>
      <c r="B2180">
        <v>0.31868066408351298</v>
      </c>
      <c r="C2180">
        <v>0.97899999999999998</v>
      </c>
      <c r="D2180">
        <v>0.97099999999999997</v>
      </c>
      <c r="E2180">
        <v>4.5978360594584401E-7</v>
      </c>
      <c r="F2180">
        <v>3</v>
      </c>
      <c r="G2180" t="s">
        <v>1715</v>
      </c>
      <c r="H2180" t="s">
        <v>1716</v>
      </c>
      <c r="I2180" t="s">
        <v>1715</v>
      </c>
      <c r="J2180" s="1" t="str">
        <f>HYPERLINK("https://zfin.org/ZDB-GENE-040426-811")</f>
        <v>https://zfin.org/ZDB-GENE-040426-811</v>
      </c>
      <c r="K2180" t="s">
        <v>1717</v>
      </c>
    </row>
    <row r="2181" spans="1:11" x14ac:dyDescent="0.2">
      <c r="A2181">
        <v>3.1872689075838397E-11</v>
      </c>
      <c r="B2181">
        <v>0.58977718013000202</v>
      </c>
      <c r="C2181">
        <v>0.79800000000000004</v>
      </c>
      <c r="D2181">
        <v>0.60899999999999999</v>
      </c>
      <c r="E2181">
        <v>4.9348484496120599E-7</v>
      </c>
      <c r="F2181">
        <v>3</v>
      </c>
      <c r="G2181" t="s">
        <v>5190</v>
      </c>
      <c r="H2181" t="s">
        <v>5191</v>
      </c>
      <c r="I2181" t="s">
        <v>5190</v>
      </c>
      <c r="J2181" s="1" t="str">
        <f>HYPERLINK("https://zfin.org/ZDB-GENE-990415-88")</f>
        <v>https://zfin.org/ZDB-GENE-990415-88</v>
      </c>
      <c r="K2181" t="s">
        <v>5192</v>
      </c>
    </row>
    <row r="2182" spans="1:11" x14ac:dyDescent="0.2">
      <c r="A2182">
        <v>3.3764473417782999E-11</v>
      </c>
      <c r="B2182">
        <v>0.55375287008665997</v>
      </c>
      <c r="C2182">
        <v>0.436</v>
      </c>
      <c r="D2182">
        <v>0.16600000000000001</v>
      </c>
      <c r="E2182">
        <v>5.2277534192753402E-7</v>
      </c>
      <c r="F2182">
        <v>3</v>
      </c>
      <c r="G2182" t="s">
        <v>5193</v>
      </c>
      <c r="H2182" t="s">
        <v>5194</v>
      </c>
      <c r="I2182" t="s">
        <v>5193</v>
      </c>
      <c r="J2182" s="1" t="str">
        <f>HYPERLINK("https://zfin.org/ZDB-GENE-031118-120")</f>
        <v>https://zfin.org/ZDB-GENE-031118-120</v>
      </c>
      <c r="K2182" t="s">
        <v>5195</v>
      </c>
    </row>
    <row r="2183" spans="1:11" x14ac:dyDescent="0.2">
      <c r="A2183">
        <v>3.5578543665440902E-11</v>
      </c>
      <c r="B2183">
        <v>0.42333791792012698</v>
      </c>
      <c r="C2183">
        <v>0.35099999999999998</v>
      </c>
      <c r="D2183">
        <v>0.11700000000000001</v>
      </c>
      <c r="E2183">
        <v>5.5086259157202096E-7</v>
      </c>
      <c r="F2183">
        <v>3</v>
      </c>
      <c r="G2183" t="s">
        <v>5196</v>
      </c>
      <c r="H2183" t="s">
        <v>5197</v>
      </c>
      <c r="I2183" t="s">
        <v>5196</v>
      </c>
      <c r="J2183" s="1" t="str">
        <f>HYPERLINK("https://zfin.org/ZDB-GENE-010328-16")</f>
        <v>https://zfin.org/ZDB-GENE-010328-16</v>
      </c>
      <c r="K2183" t="s">
        <v>5198</v>
      </c>
    </row>
    <row r="2184" spans="1:11" x14ac:dyDescent="0.2">
      <c r="A2184">
        <v>3.6599613030191502E-11</v>
      </c>
      <c r="B2184">
        <v>0.60321055074239804</v>
      </c>
      <c r="C2184">
        <v>0.66</v>
      </c>
      <c r="D2184">
        <v>0.35599999999999998</v>
      </c>
      <c r="E2184">
        <v>5.6667180854645497E-7</v>
      </c>
      <c r="F2184">
        <v>3</v>
      </c>
      <c r="G2184" t="s">
        <v>2663</v>
      </c>
      <c r="H2184" t="s">
        <v>2664</v>
      </c>
      <c r="I2184" t="s">
        <v>2663</v>
      </c>
      <c r="J2184" s="1" t="str">
        <f>HYPERLINK("https://zfin.org/ZDB-GENE-030516-2")</f>
        <v>https://zfin.org/ZDB-GENE-030516-2</v>
      </c>
      <c r="K2184" t="s">
        <v>2665</v>
      </c>
    </row>
    <row r="2185" spans="1:11" x14ac:dyDescent="0.2">
      <c r="A2185">
        <v>4.1280935280410501E-11</v>
      </c>
      <c r="B2185">
        <v>0.31790708764201903</v>
      </c>
      <c r="C2185">
        <v>0.191</v>
      </c>
      <c r="D2185">
        <v>3.9E-2</v>
      </c>
      <c r="E2185">
        <v>6.3915272094659603E-7</v>
      </c>
      <c r="F2185">
        <v>3</v>
      </c>
      <c r="G2185" t="s">
        <v>5199</v>
      </c>
      <c r="H2185" t="s">
        <v>5200</v>
      </c>
      <c r="I2185" t="s">
        <v>5199</v>
      </c>
      <c r="J2185" s="1" t="str">
        <f>HYPERLINK("https://zfin.org/ZDB-GENE-040724-10")</f>
        <v>https://zfin.org/ZDB-GENE-040724-10</v>
      </c>
      <c r="K2185" t="s">
        <v>5201</v>
      </c>
    </row>
    <row r="2186" spans="1:11" x14ac:dyDescent="0.2">
      <c r="A2186">
        <v>4.2524682972462099E-11</v>
      </c>
      <c r="B2186">
        <v>0.58789816578964305</v>
      </c>
      <c r="C2186">
        <v>0.755</v>
      </c>
      <c r="D2186">
        <v>0.51</v>
      </c>
      <c r="E2186">
        <v>6.5840966646263101E-7</v>
      </c>
      <c r="F2186">
        <v>3</v>
      </c>
      <c r="G2186" t="s">
        <v>4277</v>
      </c>
      <c r="H2186" t="s">
        <v>4278</v>
      </c>
      <c r="I2186" t="s">
        <v>4277</v>
      </c>
      <c r="J2186" s="1" t="str">
        <f>HYPERLINK("https://zfin.org/ZDB-GENE-030131-8284")</f>
        <v>https://zfin.org/ZDB-GENE-030131-8284</v>
      </c>
      <c r="K2186" t="s">
        <v>4279</v>
      </c>
    </row>
    <row r="2187" spans="1:11" x14ac:dyDescent="0.2">
      <c r="A2187">
        <v>4.6539831946822001E-11</v>
      </c>
      <c r="B2187">
        <v>0.41261066878209601</v>
      </c>
      <c r="C2187">
        <v>0.27700000000000002</v>
      </c>
      <c r="D2187">
        <v>7.5999999999999998E-2</v>
      </c>
      <c r="E2187">
        <v>7.2057621803264502E-7</v>
      </c>
      <c r="F2187">
        <v>3</v>
      </c>
      <c r="G2187" t="s">
        <v>5202</v>
      </c>
      <c r="H2187" t="s">
        <v>5203</v>
      </c>
      <c r="I2187" t="s">
        <v>5202</v>
      </c>
      <c r="J2187" s="1" t="str">
        <f>HYPERLINK("https://zfin.org/ZDB-GENE-060929-492")</f>
        <v>https://zfin.org/ZDB-GENE-060929-492</v>
      </c>
      <c r="K2187" t="s">
        <v>5204</v>
      </c>
    </row>
    <row r="2188" spans="1:11" x14ac:dyDescent="0.2">
      <c r="A2188">
        <v>4.7892690047562398E-11</v>
      </c>
      <c r="B2188">
        <v>-0.71590744077356205</v>
      </c>
      <c r="C2188">
        <v>0.97899999999999998</v>
      </c>
      <c r="D2188">
        <v>0.98199999999999998</v>
      </c>
      <c r="E2188">
        <v>7.4152252000640904E-7</v>
      </c>
      <c r="F2188">
        <v>3</v>
      </c>
      <c r="G2188" t="s">
        <v>2817</v>
      </c>
      <c r="H2188" t="s">
        <v>2818</v>
      </c>
      <c r="I2188" t="s">
        <v>2817</v>
      </c>
      <c r="J2188" s="1" t="str">
        <f>HYPERLINK("https://zfin.org/ZDB-GENE-031222-4")</f>
        <v>https://zfin.org/ZDB-GENE-031222-4</v>
      </c>
      <c r="K2188" t="s">
        <v>2819</v>
      </c>
    </row>
    <row r="2189" spans="1:11" x14ac:dyDescent="0.2">
      <c r="A2189">
        <v>5.5691110536931102E-11</v>
      </c>
      <c r="B2189">
        <v>0.36386193483356899</v>
      </c>
      <c r="C2189">
        <v>0.26600000000000001</v>
      </c>
      <c r="D2189">
        <v>7.1999999999999995E-2</v>
      </c>
      <c r="E2189">
        <v>8.6226546444330397E-7</v>
      </c>
      <c r="F2189">
        <v>3</v>
      </c>
      <c r="G2189" t="s">
        <v>5205</v>
      </c>
      <c r="H2189" t="s">
        <v>5206</v>
      </c>
      <c r="I2189" t="s">
        <v>5205</v>
      </c>
      <c r="J2189" s="1" t="str">
        <f>HYPERLINK("https://zfin.org/ZDB-GENE-060224-2")</f>
        <v>https://zfin.org/ZDB-GENE-060224-2</v>
      </c>
      <c r="K2189" t="s">
        <v>5207</v>
      </c>
    </row>
    <row r="2190" spans="1:11" x14ac:dyDescent="0.2">
      <c r="A2190">
        <v>5.8022361122154999E-11</v>
      </c>
      <c r="B2190">
        <v>0.280956615242269</v>
      </c>
      <c r="C2190">
        <v>0.106</v>
      </c>
      <c r="D2190">
        <v>1.2999999999999999E-2</v>
      </c>
      <c r="E2190">
        <v>8.9836021725432603E-7</v>
      </c>
      <c r="F2190">
        <v>3</v>
      </c>
      <c r="G2190" t="s">
        <v>5208</v>
      </c>
      <c r="H2190" t="s">
        <v>5209</v>
      </c>
      <c r="I2190" t="s">
        <v>5208</v>
      </c>
      <c r="J2190" s="1" t="str">
        <f>HYPERLINK("https://zfin.org/ZDB-GENE-061013-682")</f>
        <v>https://zfin.org/ZDB-GENE-061013-682</v>
      </c>
      <c r="K2190" t="s">
        <v>5210</v>
      </c>
    </row>
    <row r="2191" spans="1:11" x14ac:dyDescent="0.2">
      <c r="A2191">
        <v>6.0731856283352495E-11</v>
      </c>
      <c r="B2191">
        <v>0.55748031945092202</v>
      </c>
      <c r="C2191">
        <v>0.76600000000000001</v>
      </c>
      <c r="D2191">
        <v>0.54900000000000004</v>
      </c>
      <c r="E2191">
        <v>9.4031133083514605E-7</v>
      </c>
      <c r="F2191">
        <v>3</v>
      </c>
      <c r="G2191" t="s">
        <v>5211</v>
      </c>
      <c r="H2191" t="s">
        <v>5212</v>
      </c>
      <c r="I2191" t="s">
        <v>5211</v>
      </c>
      <c r="J2191" s="1" t="str">
        <f>HYPERLINK("https://zfin.org/ZDB-GENE-030131-433")</f>
        <v>https://zfin.org/ZDB-GENE-030131-433</v>
      </c>
      <c r="K2191" t="s">
        <v>5213</v>
      </c>
    </row>
    <row r="2192" spans="1:11" x14ac:dyDescent="0.2">
      <c r="A2192">
        <v>8.1141412246271706E-11</v>
      </c>
      <c r="B2192">
        <v>0.43549903411381602</v>
      </c>
      <c r="C2192">
        <v>0.35099999999999998</v>
      </c>
      <c r="D2192">
        <v>0.11899999999999999</v>
      </c>
      <c r="E2192">
        <v>1.25631248580902E-6</v>
      </c>
      <c r="F2192">
        <v>3</v>
      </c>
      <c r="G2192" t="s">
        <v>5214</v>
      </c>
      <c r="H2192" t="s">
        <v>5215</v>
      </c>
      <c r="I2192" t="s">
        <v>5214</v>
      </c>
      <c r="J2192" s="1" t="str">
        <f>HYPERLINK("https://zfin.org/ZDB-GENE-041010-32")</f>
        <v>https://zfin.org/ZDB-GENE-041010-32</v>
      </c>
      <c r="K2192" t="s">
        <v>5216</v>
      </c>
    </row>
    <row r="2193" spans="1:11" x14ac:dyDescent="0.2">
      <c r="A2193">
        <v>9.1435102183880802E-11</v>
      </c>
      <c r="B2193">
        <v>0.35332286549769698</v>
      </c>
      <c r="C2193">
        <v>0.35099999999999998</v>
      </c>
      <c r="D2193">
        <v>0.112</v>
      </c>
      <c r="E2193">
        <v>1.41568968711303E-6</v>
      </c>
      <c r="F2193">
        <v>3</v>
      </c>
      <c r="G2193" t="s">
        <v>5217</v>
      </c>
      <c r="H2193" t="s">
        <v>5218</v>
      </c>
      <c r="I2193" t="s">
        <v>5217</v>
      </c>
      <c r="J2193" s="1" t="str">
        <f>HYPERLINK("https://zfin.org/ZDB-GENE-030131-5265")</f>
        <v>https://zfin.org/ZDB-GENE-030131-5265</v>
      </c>
      <c r="K2193" t="s">
        <v>5219</v>
      </c>
    </row>
    <row r="2194" spans="1:11" x14ac:dyDescent="0.2">
      <c r="A2194">
        <v>9.4064894128882498E-11</v>
      </c>
      <c r="B2194">
        <v>0.37306417961564797</v>
      </c>
      <c r="C2194">
        <v>0.35099999999999998</v>
      </c>
      <c r="D2194">
        <v>0.111</v>
      </c>
      <c r="E2194">
        <v>1.45640675579749E-6</v>
      </c>
      <c r="F2194">
        <v>3</v>
      </c>
      <c r="G2194" t="s">
        <v>5220</v>
      </c>
      <c r="H2194" t="s">
        <v>5221</v>
      </c>
      <c r="I2194" t="s">
        <v>5220</v>
      </c>
      <c r="J2194" s="1" t="str">
        <f>HYPERLINK("https://zfin.org/ZDB-GENE-050913-49")</f>
        <v>https://zfin.org/ZDB-GENE-050913-49</v>
      </c>
      <c r="K2194" t="s">
        <v>5222</v>
      </c>
    </row>
    <row r="2195" spans="1:11" x14ac:dyDescent="0.2">
      <c r="A2195">
        <v>9.52627464476798E-11</v>
      </c>
      <c r="B2195">
        <v>0.35654688086148001</v>
      </c>
      <c r="C2195">
        <v>0.309</v>
      </c>
      <c r="D2195">
        <v>9.4E-2</v>
      </c>
      <c r="E2195">
        <v>1.4749531032494299E-6</v>
      </c>
      <c r="F2195">
        <v>3</v>
      </c>
      <c r="G2195" t="s">
        <v>5223</v>
      </c>
      <c r="H2195" t="s">
        <v>5224</v>
      </c>
      <c r="I2195" t="s">
        <v>5223</v>
      </c>
      <c r="J2195" s="1" t="str">
        <f>HYPERLINK("https://zfin.org/ZDB-GENE-060526-370")</f>
        <v>https://zfin.org/ZDB-GENE-060526-370</v>
      </c>
      <c r="K2195" t="s">
        <v>5225</v>
      </c>
    </row>
    <row r="2196" spans="1:11" x14ac:dyDescent="0.2">
      <c r="A2196">
        <v>1.1929046224282099E-10</v>
      </c>
      <c r="B2196">
        <v>0.52362972731339996</v>
      </c>
      <c r="C2196">
        <v>0.70199999999999996</v>
      </c>
      <c r="D2196">
        <v>0.373</v>
      </c>
      <c r="E2196">
        <v>1.8469742269055999E-6</v>
      </c>
      <c r="F2196">
        <v>3</v>
      </c>
      <c r="G2196" t="s">
        <v>5226</v>
      </c>
      <c r="H2196" t="s">
        <v>5227</v>
      </c>
      <c r="I2196" t="s">
        <v>5226</v>
      </c>
      <c r="J2196" s="1" t="str">
        <f>HYPERLINK("https://zfin.org/ZDB-GENE-030912-14")</f>
        <v>https://zfin.org/ZDB-GENE-030912-14</v>
      </c>
      <c r="K2196" t="s">
        <v>5228</v>
      </c>
    </row>
    <row r="2197" spans="1:11" x14ac:dyDescent="0.2">
      <c r="A2197">
        <v>1.33310620923455E-10</v>
      </c>
      <c r="B2197">
        <v>0.314207620486391</v>
      </c>
      <c r="C2197">
        <v>0.27700000000000002</v>
      </c>
      <c r="D2197">
        <v>7.8E-2</v>
      </c>
      <c r="E2197">
        <v>2.0640483437578601E-6</v>
      </c>
      <c r="F2197">
        <v>3</v>
      </c>
      <c r="G2197" t="s">
        <v>5229</v>
      </c>
      <c r="H2197" t="s">
        <v>5230</v>
      </c>
      <c r="I2197" t="s">
        <v>5229</v>
      </c>
      <c r="J2197" s="1" t="str">
        <f>HYPERLINK("https://zfin.org/ZDB-GENE-030131-7176")</f>
        <v>https://zfin.org/ZDB-GENE-030131-7176</v>
      </c>
      <c r="K2197" t="s">
        <v>5231</v>
      </c>
    </row>
    <row r="2198" spans="1:11" x14ac:dyDescent="0.2">
      <c r="A2198">
        <v>1.33990812267185E-10</v>
      </c>
      <c r="B2198">
        <v>0.34609238556246102</v>
      </c>
      <c r="C2198">
        <v>0.97899999999999998</v>
      </c>
      <c r="D2198">
        <v>0.96099999999999997</v>
      </c>
      <c r="E2198">
        <v>2.0745797463328302E-6</v>
      </c>
      <c r="F2198">
        <v>3</v>
      </c>
      <c r="G2198" t="s">
        <v>3320</v>
      </c>
      <c r="H2198" t="s">
        <v>3321</v>
      </c>
      <c r="I2198" t="s">
        <v>3320</v>
      </c>
      <c r="J2198" s="1" t="str">
        <f>HYPERLINK("https://zfin.org/ZDB-GENE-030131-8681")</f>
        <v>https://zfin.org/ZDB-GENE-030131-8681</v>
      </c>
      <c r="K2198" t="s">
        <v>3322</v>
      </c>
    </row>
    <row r="2199" spans="1:11" x14ac:dyDescent="0.2">
      <c r="A2199">
        <v>1.4387129349051299E-10</v>
      </c>
      <c r="B2199">
        <v>0.43458128251307498</v>
      </c>
      <c r="C2199">
        <v>0.54300000000000004</v>
      </c>
      <c r="D2199">
        <v>0.22800000000000001</v>
      </c>
      <c r="E2199">
        <v>2.2275592371136099E-6</v>
      </c>
      <c r="F2199">
        <v>3</v>
      </c>
      <c r="G2199" t="s">
        <v>5232</v>
      </c>
      <c r="H2199" t="s">
        <v>5233</v>
      </c>
      <c r="I2199" t="s">
        <v>5232</v>
      </c>
      <c r="J2199" s="1" t="str">
        <f>HYPERLINK("https://zfin.org/ZDB-GENE-030131-1921")</f>
        <v>https://zfin.org/ZDB-GENE-030131-1921</v>
      </c>
      <c r="K2199" t="s">
        <v>5234</v>
      </c>
    </row>
    <row r="2200" spans="1:11" x14ac:dyDescent="0.2">
      <c r="A2200">
        <v>1.51135802250606E-10</v>
      </c>
      <c r="B2200">
        <v>0.25630659113592902</v>
      </c>
      <c r="C2200">
        <v>0.106</v>
      </c>
      <c r="D2200">
        <v>1.2999999999999999E-2</v>
      </c>
      <c r="E2200">
        <v>2.34003562624614E-6</v>
      </c>
      <c r="F2200">
        <v>3</v>
      </c>
      <c r="G2200" t="s">
        <v>5235</v>
      </c>
      <c r="H2200" t="s">
        <v>5236</v>
      </c>
      <c r="I2200" t="s">
        <v>5235</v>
      </c>
      <c r="J2200" s="1" t="str">
        <f>HYPERLINK("https://zfin.org/ZDB-GENE-030131-7558")</f>
        <v>https://zfin.org/ZDB-GENE-030131-7558</v>
      </c>
      <c r="K2200" t="s">
        <v>5237</v>
      </c>
    </row>
    <row r="2201" spans="1:11" x14ac:dyDescent="0.2">
      <c r="A2201">
        <v>1.5748665201059701E-10</v>
      </c>
      <c r="B2201">
        <v>0.38298816290672</v>
      </c>
      <c r="C2201">
        <v>0.29799999999999999</v>
      </c>
      <c r="D2201">
        <v>8.8999999999999996E-2</v>
      </c>
      <c r="E2201">
        <v>2.43836583308008E-6</v>
      </c>
      <c r="F2201">
        <v>3</v>
      </c>
      <c r="G2201" t="s">
        <v>5238</v>
      </c>
      <c r="H2201" t="s">
        <v>5239</v>
      </c>
      <c r="I2201" t="s">
        <v>5238</v>
      </c>
      <c r="J2201" s="1" t="str">
        <f>HYPERLINK("https://zfin.org/ZDB-GENE-040624-5")</f>
        <v>https://zfin.org/ZDB-GENE-040624-5</v>
      </c>
      <c r="K2201" t="s">
        <v>5240</v>
      </c>
    </row>
    <row r="2202" spans="1:11" x14ac:dyDescent="0.2">
      <c r="A2202">
        <v>1.89434859594664E-10</v>
      </c>
      <c r="B2202">
        <v>-0.65111304011128102</v>
      </c>
      <c r="C2202">
        <v>0.755</v>
      </c>
      <c r="D2202">
        <v>0.85899999999999999</v>
      </c>
      <c r="E2202">
        <v>2.9330199311041801E-6</v>
      </c>
      <c r="F2202">
        <v>3</v>
      </c>
      <c r="G2202" t="s">
        <v>5241</v>
      </c>
      <c r="H2202" t="s">
        <v>5242</v>
      </c>
      <c r="I2202" t="s">
        <v>5241</v>
      </c>
      <c r="J2202" s="1" t="str">
        <f>HYPERLINK("https://zfin.org/ZDB-GENE-030410-5")</f>
        <v>https://zfin.org/ZDB-GENE-030410-5</v>
      </c>
      <c r="K2202" t="s">
        <v>5243</v>
      </c>
    </row>
    <row r="2203" spans="1:11" x14ac:dyDescent="0.2">
      <c r="A2203">
        <v>3.0346539115690998E-10</v>
      </c>
      <c r="B2203">
        <v>0.34268399223968898</v>
      </c>
      <c r="C2203">
        <v>0.13800000000000001</v>
      </c>
      <c r="D2203">
        <v>2.3E-2</v>
      </c>
      <c r="E2203">
        <v>4.6985546512824399E-6</v>
      </c>
      <c r="F2203">
        <v>3</v>
      </c>
      <c r="G2203" t="s">
        <v>5244</v>
      </c>
      <c r="H2203" t="s">
        <v>5245</v>
      </c>
      <c r="I2203" t="s">
        <v>5244</v>
      </c>
      <c r="J2203" s="1" t="str">
        <f>HYPERLINK("https://zfin.org/ZDB-GENE-030131-9008")</f>
        <v>https://zfin.org/ZDB-GENE-030131-9008</v>
      </c>
      <c r="K2203" t="s">
        <v>5246</v>
      </c>
    </row>
    <row r="2204" spans="1:11" x14ac:dyDescent="0.2">
      <c r="A2204">
        <v>3.0951537817484901E-10</v>
      </c>
      <c r="B2204">
        <v>0.34438627662641202</v>
      </c>
      <c r="C2204">
        <v>0.18099999999999999</v>
      </c>
      <c r="D2204">
        <v>3.9E-2</v>
      </c>
      <c r="E2204">
        <v>4.7922266002811798E-6</v>
      </c>
      <c r="F2204">
        <v>3</v>
      </c>
      <c r="G2204" t="s">
        <v>5247</v>
      </c>
      <c r="H2204" t="s">
        <v>5248</v>
      </c>
      <c r="I2204" t="s">
        <v>5247</v>
      </c>
      <c r="J2204" s="1" t="str">
        <f>HYPERLINK("https://zfin.org/ZDB-GENE-991110-12")</f>
        <v>https://zfin.org/ZDB-GENE-991110-12</v>
      </c>
      <c r="K2204" t="s">
        <v>5249</v>
      </c>
    </row>
    <row r="2205" spans="1:11" x14ac:dyDescent="0.2">
      <c r="A2205">
        <v>3.12141546871899E-10</v>
      </c>
      <c r="B2205">
        <v>0.31600551881837002</v>
      </c>
      <c r="C2205">
        <v>0.26600000000000001</v>
      </c>
      <c r="D2205">
        <v>7.0999999999999994E-2</v>
      </c>
      <c r="E2205">
        <v>4.8328875702176201E-6</v>
      </c>
      <c r="F2205">
        <v>3</v>
      </c>
      <c r="G2205" t="s">
        <v>5250</v>
      </c>
      <c r="H2205" t="s">
        <v>5251</v>
      </c>
      <c r="I2205" t="s">
        <v>5250</v>
      </c>
      <c r="J2205" s="1" t="str">
        <f>HYPERLINK("https://zfin.org/ZDB-GENE-070912-286")</f>
        <v>https://zfin.org/ZDB-GENE-070912-286</v>
      </c>
      <c r="K2205" t="s">
        <v>5252</v>
      </c>
    </row>
    <row r="2206" spans="1:11" x14ac:dyDescent="0.2">
      <c r="A2206">
        <v>3.3631009355435E-10</v>
      </c>
      <c r="B2206">
        <v>0.26516227008356003</v>
      </c>
      <c r="C2206">
        <v>0.16</v>
      </c>
      <c r="D2206">
        <v>3.1E-2</v>
      </c>
      <c r="E2206">
        <v>5.2070891785019898E-6</v>
      </c>
      <c r="F2206">
        <v>3</v>
      </c>
      <c r="G2206" t="s">
        <v>5253</v>
      </c>
      <c r="H2206" t="s">
        <v>5254</v>
      </c>
      <c r="I2206" t="s">
        <v>5253</v>
      </c>
      <c r="J2206" s="1" t="str">
        <f>HYPERLINK("https://zfin.org/ZDB-GENE-030131-6283")</f>
        <v>https://zfin.org/ZDB-GENE-030131-6283</v>
      </c>
      <c r="K2206" t="s">
        <v>5255</v>
      </c>
    </row>
    <row r="2207" spans="1:11" x14ac:dyDescent="0.2">
      <c r="A2207">
        <v>3.5242071478814001E-10</v>
      </c>
      <c r="B2207">
        <v>0.48263386760780902</v>
      </c>
      <c r="C2207">
        <v>0.77700000000000002</v>
      </c>
      <c r="D2207">
        <v>0.51400000000000001</v>
      </c>
      <c r="E2207">
        <v>5.4565299270647701E-6</v>
      </c>
      <c r="F2207">
        <v>3</v>
      </c>
      <c r="G2207" t="s">
        <v>5256</v>
      </c>
      <c r="H2207" t="s">
        <v>5257</v>
      </c>
      <c r="I2207" t="s">
        <v>5256</v>
      </c>
      <c r="J2207" s="1" t="str">
        <f>HYPERLINK("https://zfin.org/ZDB-GENE-030131-6986")</f>
        <v>https://zfin.org/ZDB-GENE-030131-6986</v>
      </c>
      <c r="K2207" t="s">
        <v>5258</v>
      </c>
    </row>
    <row r="2208" spans="1:11" x14ac:dyDescent="0.2">
      <c r="A2208">
        <v>4.6364177932339798E-10</v>
      </c>
      <c r="B2208">
        <v>0.51761915816898596</v>
      </c>
      <c r="C2208">
        <v>0.45700000000000002</v>
      </c>
      <c r="D2208">
        <v>0.20100000000000001</v>
      </c>
      <c r="E2208">
        <v>7.1785656692641702E-6</v>
      </c>
      <c r="F2208">
        <v>3</v>
      </c>
      <c r="G2208" t="s">
        <v>5259</v>
      </c>
      <c r="H2208" t="s">
        <v>5260</v>
      </c>
      <c r="I2208" t="s">
        <v>5259</v>
      </c>
      <c r="J2208" s="1" t="str">
        <f>HYPERLINK("https://zfin.org/ZDB-GENE-030131-4357")</f>
        <v>https://zfin.org/ZDB-GENE-030131-4357</v>
      </c>
      <c r="K2208" t="s">
        <v>5261</v>
      </c>
    </row>
    <row r="2209" spans="1:11" x14ac:dyDescent="0.2">
      <c r="A2209">
        <v>5.0001297963963499E-10</v>
      </c>
      <c r="B2209">
        <v>0.29088406584955701</v>
      </c>
      <c r="C2209">
        <v>0.245</v>
      </c>
      <c r="D2209">
        <v>6.6000000000000003E-2</v>
      </c>
      <c r="E2209">
        <v>7.7417009637604595E-6</v>
      </c>
      <c r="F2209">
        <v>3</v>
      </c>
      <c r="G2209" t="s">
        <v>5262</v>
      </c>
      <c r="H2209" t="s">
        <v>5263</v>
      </c>
      <c r="I2209" t="s">
        <v>5262</v>
      </c>
      <c r="J2209" s="1" t="str">
        <f>HYPERLINK("https://zfin.org/ZDB-GENE-990603-1")</f>
        <v>https://zfin.org/ZDB-GENE-990603-1</v>
      </c>
      <c r="K2209" t="s">
        <v>5264</v>
      </c>
    </row>
    <row r="2210" spans="1:11" x14ac:dyDescent="0.2">
      <c r="A2210">
        <v>6.2567252235987704E-10</v>
      </c>
      <c r="B2210">
        <v>0.416855778386366</v>
      </c>
      <c r="C2210">
        <v>0.41499999999999998</v>
      </c>
      <c r="D2210">
        <v>0.156</v>
      </c>
      <c r="E2210">
        <v>9.6872876636979808E-6</v>
      </c>
      <c r="F2210">
        <v>3</v>
      </c>
      <c r="G2210" t="s">
        <v>5265</v>
      </c>
      <c r="H2210" t="s">
        <v>5266</v>
      </c>
      <c r="I2210" t="s">
        <v>5265</v>
      </c>
      <c r="J2210" s="1" t="str">
        <f>HYPERLINK("https://zfin.org/ZDB-GENE-040420-1")</f>
        <v>https://zfin.org/ZDB-GENE-040420-1</v>
      </c>
      <c r="K2210" t="s">
        <v>5267</v>
      </c>
    </row>
    <row r="2211" spans="1:11" x14ac:dyDescent="0.2">
      <c r="A2211">
        <v>1.10609374191108E-9</v>
      </c>
      <c r="B2211">
        <v>0.25979174643866199</v>
      </c>
      <c r="C2211">
        <v>0.106</v>
      </c>
      <c r="D2211">
        <v>1.4999999999999999E-2</v>
      </c>
      <c r="E2211">
        <v>1.7125649406009199E-5</v>
      </c>
      <c r="F2211">
        <v>3</v>
      </c>
      <c r="G2211" t="s">
        <v>5268</v>
      </c>
      <c r="H2211" t="s">
        <v>5269</v>
      </c>
      <c r="I2211" t="s">
        <v>5268</v>
      </c>
      <c r="J2211" s="1" t="str">
        <f>HYPERLINK("https://zfin.org/ZDB-GENE-040426-1873")</f>
        <v>https://zfin.org/ZDB-GENE-040426-1873</v>
      </c>
      <c r="K2211" t="s">
        <v>5270</v>
      </c>
    </row>
    <row r="2212" spans="1:11" x14ac:dyDescent="0.2">
      <c r="A2212">
        <v>1.24285725109107E-9</v>
      </c>
      <c r="B2212">
        <v>0.42206887840060597</v>
      </c>
      <c r="C2212">
        <v>0.29799999999999999</v>
      </c>
      <c r="D2212">
        <v>9.5000000000000001E-2</v>
      </c>
      <c r="E2212">
        <v>1.9243158818643101E-5</v>
      </c>
      <c r="F2212">
        <v>3</v>
      </c>
      <c r="G2212" t="s">
        <v>2081</v>
      </c>
      <c r="H2212" t="s">
        <v>2082</v>
      </c>
      <c r="I2212" t="s">
        <v>2081</v>
      </c>
      <c r="J2212" s="1" t="str">
        <f>HYPERLINK("https://zfin.org/ZDB-GENE-030424-2")</f>
        <v>https://zfin.org/ZDB-GENE-030424-2</v>
      </c>
      <c r="K2212" t="s">
        <v>2083</v>
      </c>
    </row>
    <row r="2213" spans="1:11" x14ac:dyDescent="0.2">
      <c r="A2213">
        <v>1.4128852777906799E-9</v>
      </c>
      <c r="B2213">
        <v>0.289044361058102</v>
      </c>
      <c r="C2213">
        <v>0.26600000000000001</v>
      </c>
      <c r="D2213">
        <v>7.6999999999999999E-2</v>
      </c>
      <c r="E2213">
        <v>2.1875702756033101E-5</v>
      </c>
      <c r="F2213">
        <v>3</v>
      </c>
      <c r="G2213" t="s">
        <v>5271</v>
      </c>
      <c r="H2213" t="s">
        <v>5272</v>
      </c>
      <c r="I2213" t="s">
        <v>5271</v>
      </c>
      <c r="J2213" s="1" t="str">
        <f>HYPERLINK("https://zfin.org/ZDB-GENE-020419-13")</f>
        <v>https://zfin.org/ZDB-GENE-020419-13</v>
      </c>
      <c r="K2213" t="s">
        <v>5273</v>
      </c>
    </row>
    <row r="2214" spans="1:11" x14ac:dyDescent="0.2">
      <c r="A2214">
        <v>1.4154244208913501E-9</v>
      </c>
      <c r="B2214">
        <v>0.43473138767784802</v>
      </c>
      <c r="C2214">
        <v>0.191</v>
      </c>
      <c r="D2214">
        <v>4.4999999999999998E-2</v>
      </c>
      <c r="E2214">
        <v>2.1915016308660801E-5</v>
      </c>
      <c r="F2214">
        <v>3</v>
      </c>
      <c r="G2214" t="s">
        <v>5274</v>
      </c>
      <c r="H2214" t="s">
        <v>5275</v>
      </c>
      <c r="I2214" t="s">
        <v>5274</v>
      </c>
      <c r="J2214" s="1" t="str">
        <f>HYPERLINK("https://zfin.org/ZDB-GENE-040822-24")</f>
        <v>https://zfin.org/ZDB-GENE-040822-24</v>
      </c>
      <c r="K2214" t="s">
        <v>5276</v>
      </c>
    </row>
    <row r="2215" spans="1:11" x14ac:dyDescent="0.2">
      <c r="A2215">
        <v>1.4879715846919401E-9</v>
      </c>
      <c r="B2215">
        <v>0.29433474735342302</v>
      </c>
      <c r="C2215">
        <v>0.97899999999999998</v>
      </c>
      <c r="D2215">
        <v>0.96399999999999997</v>
      </c>
      <c r="E2215">
        <v>2.30382640457853E-5</v>
      </c>
      <c r="F2215">
        <v>3</v>
      </c>
      <c r="G2215" t="s">
        <v>1712</v>
      </c>
      <c r="H2215" t="s">
        <v>1713</v>
      </c>
      <c r="I2215" t="s">
        <v>1712</v>
      </c>
      <c r="J2215" s="1" t="str">
        <f>HYPERLINK("https://zfin.org/ZDB-GENE-030131-8951")</f>
        <v>https://zfin.org/ZDB-GENE-030131-8951</v>
      </c>
      <c r="K2215" t="s">
        <v>1714</v>
      </c>
    </row>
    <row r="2216" spans="1:11" x14ac:dyDescent="0.2">
      <c r="A2216">
        <v>1.58529345795542E-9</v>
      </c>
      <c r="B2216">
        <v>0.35955282498952001</v>
      </c>
      <c r="C2216">
        <v>0.40400000000000003</v>
      </c>
      <c r="D2216">
        <v>0.155</v>
      </c>
      <c r="E2216">
        <v>2.4545098609523799E-5</v>
      </c>
      <c r="F2216">
        <v>3</v>
      </c>
      <c r="G2216" t="s">
        <v>5277</v>
      </c>
      <c r="H2216" t="s">
        <v>5278</v>
      </c>
      <c r="I2216" t="s">
        <v>5277</v>
      </c>
      <c r="J2216" s="1" t="str">
        <f>HYPERLINK("https://zfin.org/ZDB-GENE-030131-2841")</f>
        <v>https://zfin.org/ZDB-GENE-030131-2841</v>
      </c>
      <c r="K2216" t="s">
        <v>5279</v>
      </c>
    </row>
    <row r="2217" spans="1:11" x14ac:dyDescent="0.2">
      <c r="A2217">
        <v>2.0816234820247498E-9</v>
      </c>
      <c r="B2217">
        <v>0.51428381398488099</v>
      </c>
      <c r="C2217">
        <v>0.5</v>
      </c>
      <c r="D2217">
        <v>0.22800000000000001</v>
      </c>
      <c r="E2217">
        <v>3.2229776372189301E-5</v>
      </c>
      <c r="F2217">
        <v>3</v>
      </c>
      <c r="G2217" t="s">
        <v>5280</v>
      </c>
      <c r="H2217" t="s">
        <v>5281</v>
      </c>
      <c r="I2217" t="s">
        <v>5280</v>
      </c>
      <c r="J2217" s="1" t="str">
        <f>HYPERLINK("https://zfin.org/ZDB-GENE-040426-2766")</f>
        <v>https://zfin.org/ZDB-GENE-040426-2766</v>
      </c>
      <c r="K2217" t="s">
        <v>5282</v>
      </c>
    </row>
    <row r="2218" spans="1:11" x14ac:dyDescent="0.2">
      <c r="A2218">
        <v>2.1009722436946399E-9</v>
      </c>
      <c r="B2218">
        <v>0.25982014597422998</v>
      </c>
      <c r="C2218">
        <v>0.92600000000000005</v>
      </c>
      <c r="D2218">
        <v>0.76700000000000002</v>
      </c>
      <c r="E2218">
        <v>3.25293532491242E-5</v>
      </c>
      <c r="F2218">
        <v>3</v>
      </c>
      <c r="G2218" t="s">
        <v>2606</v>
      </c>
      <c r="H2218" t="s">
        <v>2607</v>
      </c>
      <c r="I2218" t="s">
        <v>2606</v>
      </c>
      <c r="J2218" s="1" t="str">
        <f>HYPERLINK("https://zfin.org/ZDB-GENE-121214-200")</f>
        <v>https://zfin.org/ZDB-GENE-121214-200</v>
      </c>
      <c r="K2218" t="s">
        <v>2608</v>
      </c>
    </row>
    <row r="2219" spans="1:11" x14ac:dyDescent="0.2">
      <c r="A2219">
        <v>2.1432369311481001E-9</v>
      </c>
      <c r="B2219">
        <v>0.35596743824975302</v>
      </c>
      <c r="C2219">
        <v>0.18099999999999999</v>
      </c>
      <c r="D2219">
        <v>4.1000000000000002E-2</v>
      </c>
      <c r="E2219">
        <v>3.3183737404965998E-5</v>
      </c>
      <c r="F2219">
        <v>3</v>
      </c>
      <c r="G2219" t="s">
        <v>5283</v>
      </c>
      <c r="H2219" t="s">
        <v>5284</v>
      </c>
      <c r="I2219" t="s">
        <v>5283</v>
      </c>
      <c r="J2219" s="1" t="str">
        <f>HYPERLINK("https://zfin.org/ZDB-GENE-071004-68")</f>
        <v>https://zfin.org/ZDB-GENE-071004-68</v>
      </c>
      <c r="K2219" t="s">
        <v>5285</v>
      </c>
    </row>
    <row r="2220" spans="1:11" x14ac:dyDescent="0.2">
      <c r="A2220">
        <v>2.3376450730715899E-9</v>
      </c>
      <c r="B2220">
        <v>-1.1976116828382799</v>
      </c>
      <c r="C2220">
        <v>0.29799999999999999</v>
      </c>
      <c r="D2220">
        <v>0.54900000000000004</v>
      </c>
      <c r="E2220">
        <v>3.6193758666367397E-5</v>
      </c>
      <c r="F2220">
        <v>3</v>
      </c>
      <c r="G2220" t="s">
        <v>2681</v>
      </c>
      <c r="H2220" t="s">
        <v>2682</v>
      </c>
      <c r="I2220" t="s">
        <v>2681</v>
      </c>
      <c r="J2220" s="1" t="str">
        <f>HYPERLINK("https://zfin.org/ZDB-GENE-030131-2159")</f>
        <v>https://zfin.org/ZDB-GENE-030131-2159</v>
      </c>
      <c r="K2220" t="s">
        <v>2683</v>
      </c>
    </row>
    <row r="2221" spans="1:11" x14ac:dyDescent="0.2">
      <c r="A2221">
        <v>2.4812575805700401E-9</v>
      </c>
      <c r="B2221">
        <v>0.25181259318047899</v>
      </c>
      <c r="C2221">
        <v>0.128</v>
      </c>
      <c r="D2221">
        <v>2.1999999999999999E-2</v>
      </c>
      <c r="E2221">
        <v>3.8417311119965899E-5</v>
      </c>
      <c r="F2221">
        <v>3</v>
      </c>
      <c r="G2221" t="s">
        <v>5286</v>
      </c>
      <c r="H2221" t="s">
        <v>5287</v>
      </c>
      <c r="I2221" t="s">
        <v>5286</v>
      </c>
      <c r="J2221" s="1" t="str">
        <f>HYPERLINK("https://zfin.org/ZDB-GENE-030131-2581")</f>
        <v>https://zfin.org/ZDB-GENE-030131-2581</v>
      </c>
      <c r="K2221" t="s">
        <v>5288</v>
      </c>
    </row>
    <row r="2222" spans="1:11" x14ac:dyDescent="0.2">
      <c r="A2222">
        <v>2.5146255625001899E-9</v>
      </c>
      <c r="B2222">
        <v>0.32258900261823897</v>
      </c>
      <c r="C2222">
        <v>0.20200000000000001</v>
      </c>
      <c r="D2222">
        <v>0.05</v>
      </c>
      <c r="E2222">
        <v>3.8933947584190498E-5</v>
      </c>
      <c r="F2222">
        <v>3</v>
      </c>
      <c r="G2222" t="s">
        <v>5289</v>
      </c>
      <c r="H2222" t="s">
        <v>5290</v>
      </c>
      <c r="I2222" t="s">
        <v>5289</v>
      </c>
      <c r="J2222" s="1" t="str">
        <f>HYPERLINK("https://zfin.org/ZDB-GENE-041008-108")</f>
        <v>https://zfin.org/ZDB-GENE-041008-108</v>
      </c>
      <c r="K2222" t="s">
        <v>5291</v>
      </c>
    </row>
    <row r="2223" spans="1:11" x14ac:dyDescent="0.2">
      <c r="A2223">
        <v>2.6714456796711598E-9</v>
      </c>
      <c r="B2223">
        <v>0.54560806346814394</v>
      </c>
      <c r="C2223">
        <v>0.61699999999999999</v>
      </c>
      <c r="D2223">
        <v>0.33800000000000002</v>
      </c>
      <c r="E2223">
        <v>4.1361993458348598E-5</v>
      </c>
      <c r="F2223">
        <v>3</v>
      </c>
      <c r="G2223" t="s">
        <v>4130</v>
      </c>
      <c r="H2223" t="s">
        <v>4131</v>
      </c>
      <c r="I2223" t="s">
        <v>4130</v>
      </c>
      <c r="J2223" s="1" t="str">
        <f>HYPERLINK("https://zfin.org/ZDB-GENE-041216-1")</f>
        <v>https://zfin.org/ZDB-GENE-041216-1</v>
      </c>
      <c r="K2223" t="s">
        <v>4132</v>
      </c>
    </row>
    <row r="2224" spans="1:11" x14ac:dyDescent="0.2">
      <c r="A2224">
        <v>3.0625281774377902E-9</v>
      </c>
      <c r="B2224">
        <v>0.32719035221159598</v>
      </c>
      <c r="C2224">
        <v>0.223</v>
      </c>
      <c r="D2224">
        <v>0.06</v>
      </c>
      <c r="E2224">
        <v>4.7417123771269401E-5</v>
      </c>
      <c r="F2224">
        <v>3</v>
      </c>
      <c r="G2224" t="s">
        <v>5292</v>
      </c>
      <c r="H2224" t="s">
        <v>5293</v>
      </c>
      <c r="I2224" t="s">
        <v>5292</v>
      </c>
      <c r="J2224" s="1" t="str">
        <f>HYPERLINK("https://zfin.org/ZDB-GENE-030131-6266")</f>
        <v>https://zfin.org/ZDB-GENE-030131-6266</v>
      </c>
      <c r="K2224" t="s">
        <v>5294</v>
      </c>
    </row>
    <row r="2225" spans="1:11" x14ac:dyDescent="0.2">
      <c r="A2225">
        <v>3.10184844904053E-9</v>
      </c>
      <c r="B2225">
        <v>0.27222559309337102</v>
      </c>
      <c r="C2225">
        <v>0.11700000000000001</v>
      </c>
      <c r="D2225">
        <v>1.9E-2</v>
      </c>
      <c r="E2225">
        <v>4.8025919536494503E-5</v>
      </c>
      <c r="F2225">
        <v>3</v>
      </c>
      <c r="G2225" t="s">
        <v>5295</v>
      </c>
      <c r="H2225" t="s">
        <v>5296</v>
      </c>
      <c r="I2225" t="s">
        <v>5295</v>
      </c>
      <c r="J2225" s="1" t="str">
        <f>HYPERLINK("https://zfin.org/ZDB-GENE-041008-119")</f>
        <v>https://zfin.org/ZDB-GENE-041008-119</v>
      </c>
      <c r="K2225" t="s">
        <v>5297</v>
      </c>
    </row>
    <row r="2226" spans="1:11" x14ac:dyDescent="0.2">
      <c r="A2226">
        <v>3.1351916521032601E-9</v>
      </c>
      <c r="B2226">
        <v>0.40386155024808101</v>
      </c>
      <c r="C2226">
        <v>0.85099999999999998</v>
      </c>
      <c r="D2226">
        <v>0.78100000000000003</v>
      </c>
      <c r="E2226">
        <v>4.8542172349514703E-5</v>
      </c>
      <c r="F2226">
        <v>3</v>
      </c>
      <c r="G2226" t="s">
        <v>3047</v>
      </c>
      <c r="H2226" t="s">
        <v>3048</v>
      </c>
      <c r="I2226" t="s">
        <v>3047</v>
      </c>
      <c r="J2226" s="1" t="str">
        <f>HYPERLINK("https://zfin.org/ZDB-GENE-030131-185")</f>
        <v>https://zfin.org/ZDB-GENE-030131-185</v>
      </c>
      <c r="K2226" t="s">
        <v>3049</v>
      </c>
    </row>
    <row r="2227" spans="1:11" x14ac:dyDescent="0.2">
      <c r="A2227">
        <v>3.3961371312500102E-9</v>
      </c>
      <c r="B2227">
        <v>0.415957265541124</v>
      </c>
      <c r="C2227">
        <v>0.91500000000000004</v>
      </c>
      <c r="D2227">
        <v>0.76900000000000002</v>
      </c>
      <c r="E2227">
        <v>5.2582391203144002E-5</v>
      </c>
      <c r="F2227">
        <v>3</v>
      </c>
      <c r="G2227" t="s">
        <v>5298</v>
      </c>
      <c r="H2227" t="s">
        <v>5299</v>
      </c>
      <c r="I2227" t="s">
        <v>5298</v>
      </c>
      <c r="J2227" s="1" t="str">
        <f>HYPERLINK("https://zfin.org/ZDB-GENE-030131-7336")</f>
        <v>https://zfin.org/ZDB-GENE-030131-7336</v>
      </c>
      <c r="K2227" t="s">
        <v>5300</v>
      </c>
    </row>
    <row r="2228" spans="1:11" x14ac:dyDescent="0.2">
      <c r="A2228">
        <v>3.5162899419736999E-9</v>
      </c>
      <c r="B2228">
        <v>0.43287331367047299</v>
      </c>
      <c r="C2228">
        <v>0.93600000000000005</v>
      </c>
      <c r="D2228">
        <v>0.78700000000000003</v>
      </c>
      <c r="E2228">
        <v>5.4442717171578802E-5</v>
      </c>
      <c r="F2228">
        <v>3</v>
      </c>
      <c r="G2228" t="s">
        <v>5301</v>
      </c>
      <c r="H2228" t="s">
        <v>5302</v>
      </c>
      <c r="I2228" t="s">
        <v>5301</v>
      </c>
      <c r="J2228" s="1" t="str">
        <f>HYPERLINK("https://zfin.org/ZDB-GENE-030131-341")</f>
        <v>https://zfin.org/ZDB-GENE-030131-341</v>
      </c>
      <c r="K2228" t="s">
        <v>5303</v>
      </c>
    </row>
    <row r="2229" spans="1:11" x14ac:dyDescent="0.2">
      <c r="A2229">
        <v>3.6471368647075998E-9</v>
      </c>
      <c r="B2229">
        <v>0.35274549848654801</v>
      </c>
      <c r="C2229">
        <v>0.18099999999999999</v>
      </c>
      <c r="D2229">
        <v>4.2000000000000003E-2</v>
      </c>
      <c r="E2229">
        <v>5.6468620076267698E-5</v>
      </c>
      <c r="F2229">
        <v>3</v>
      </c>
      <c r="G2229" t="s">
        <v>5304</v>
      </c>
      <c r="H2229" t="s">
        <v>5305</v>
      </c>
      <c r="I2229" t="s">
        <v>5304</v>
      </c>
      <c r="J2229" s="1" t="str">
        <f>HYPERLINK("https://zfin.org/ZDB-GENE-070912-485")</f>
        <v>https://zfin.org/ZDB-GENE-070912-485</v>
      </c>
      <c r="K2229" t="s">
        <v>5306</v>
      </c>
    </row>
    <row r="2230" spans="1:11" x14ac:dyDescent="0.2">
      <c r="A2230">
        <v>4.0593214799051699E-9</v>
      </c>
      <c r="B2230">
        <v>-0.58879619850930398</v>
      </c>
      <c r="C2230">
        <v>1</v>
      </c>
      <c r="D2230">
        <v>1</v>
      </c>
      <c r="E2230">
        <v>6.2850474473371803E-5</v>
      </c>
      <c r="F2230">
        <v>3</v>
      </c>
      <c r="G2230" t="s">
        <v>863</v>
      </c>
      <c r="H2230" t="s">
        <v>864</v>
      </c>
      <c r="I2230" t="s">
        <v>863</v>
      </c>
      <c r="J2230" s="1" t="str">
        <f>HYPERLINK("https://zfin.org/ZDB-GENE-130603-61")</f>
        <v>https://zfin.org/ZDB-GENE-130603-61</v>
      </c>
      <c r="K2230" t="s">
        <v>865</v>
      </c>
    </row>
    <row r="2231" spans="1:11" x14ac:dyDescent="0.2">
      <c r="A2231">
        <v>4.4676250436225503E-9</v>
      </c>
      <c r="B2231">
        <v>0.51813167207492905</v>
      </c>
      <c r="C2231">
        <v>0.45700000000000002</v>
      </c>
      <c r="D2231">
        <v>0.19700000000000001</v>
      </c>
      <c r="E2231">
        <v>6.9172238550407896E-5</v>
      </c>
      <c r="F2231">
        <v>3</v>
      </c>
      <c r="G2231" t="s">
        <v>5307</v>
      </c>
      <c r="H2231" t="s">
        <v>5308</v>
      </c>
      <c r="I2231" t="s">
        <v>5307</v>
      </c>
      <c r="J2231" s="1" t="str">
        <f>HYPERLINK("https://zfin.org/ZDB-GENE-040426-1950")</f>
        <v>https://zfin.org/ZDB-GENE-040426-1950</v>
      </c>
      <c r="K2231" t="s">
        <v>5309</v>
      </c>
    </row>
    <row r="2232" spans="1:11" x14ac:dyDescent="0.2">
      <c r="A2232">
        <v>4.6081697722132398E-9</v>
      </c>
      <c r="B2232">
        <v>0.255759068539755</v>
      </c>
      <c r="C2232">
        <v>0.28699999999999998</v>
      </c>
      <c r="D2232">
        <v>8.8999999999999996E-2</v>
      </c>
      <c r="E2232">
        <v>7.1348292583177706E-5</v>
      </c>
      <c r="F2232">
        <v>3</v>
      </c>
      <c r="G2232" t="s">
        <v>5310</v>
      </c>
      <c r="H2232" t="s">
        <v>5311</v>
      </c>
      <c r="I2232" t="s">
        <v>5310</v>
      </c>
      <c r="J2232" s="1" t="str">
        <f>HYPERLINK("https://zfin.org/ZDB-GENE-040801-121")</f>
        <v>https://zfin.org/ZDB-GENE-040801-121</v>
      </c>
      <c r="K2232" t="s">
        <v>5312</v>
      </c>
    </row>
    <row r="2233" spans="1:11" x14ac:dyDescent="0.2">
      <c r="A2233">
        <v>6.1865458763814899E-9</v>
      </c>
      <c r="B2233">
        <v>0.360561167972059</v>
      </c>
      <c r="C2233">
        <v>0.28699999999999998</v>
      </c>
      <c r="D2233">
        <v>9.4E-2</v>
      </c>
      <c r="E2233">
        <v>9.5786289804014602E-5</v>
      </c>
      <c r="F2233">
        <v>3</v>
      </c>
      <c r="G2233" t="s">
        <v>5313</v>
      </c>
      <c r="H2233" t="s">
        <v>5314</v>
      </c>
      <c r="I2233" t="s">
        <v>5313</v>
      </c>
      <c r="J2233" s="1" t="str">
        <f>HYPERLINK("https://zfin.org/ZDB-GENE-040426-2326")</f>
        <v>https://zfin.org/ZDB-GENE-040426-2326</v>
      </c>
      <c r="K2233" t="s">
        <v>5315</v>
      </c>
    </row>
    <row r="2234" spans="1:11" x14ac:dyDescent="0.2">
      <c r="A2234">
        <v>6.3933849570411103E-9</v>
      </c>
      <c r="B2234">
        <v>0.37865583109154</v>
      </c>
      <c r="C2234">
        <v>0.90400000000000003</v>
      </c>
      <c r="D2234">
        <v>0.67600000000000005</v>
      </c>
      <c r="E2234">
        <v>9.8988779289867494E-5</v>
      </c>
      <c r="F2234">
        <v>3</v>
      </c>
      <c r="G2234" t="s">
        <v>3029</v>
      </c>
      <c r="H2234" t="s">
        <v>3030</v>
      </c>
      <c r="I2234" t="s">
        <v>3029</v>
      </c>
      <c r="J2234" s="1" t="str">
        <f>HYPERLINK("https://zfin.org/ZDB-GENE-040426-1961")</f>
        <v>https://zfin.org/ZDB-GENE-040426-1961</v>
      </c>
      <c r="K2234" t="s">
        <v>3031</v>
      </c>
    </row>
    <row r="2235" spans="1:11" x14ac:dyDescent="0.2">
      <c r="A2235">
        <v>2.58048147659309E-102</v>
      </c>
      <c r="B2235">
        <v>1.7173927683302399</v>
      </c>
      <c r="C2235">
        <v>0.60799999999999998</v>
      </c>
      <c r="D2235">
        <v>2.9000000000000001E-2</v>
      </c>
      <c r="E2235">
        <v>3.9953594702090898E-98</v>
      </c>
      <c r="F2235">
        <v>4</v>
      </c>
      <c r="G2235" t="s">
        <v>3534</v>
      </c>
      <c r="H2235" t="s">
        <v>3535</v>
      </c>
      <c r="I2235" t="s">
        <v>3534</v>
      </c>
      <c r="J2235" s="1" t="str">
        <f>HYPERLINK("https://zfin.org/ZDB-GENE-990415-47")</f>
        <v>https://zfin.org/ZDB-GENE-990415-47</v>
      </c>
      <c r="K2235" t="s">
        <v>3536</v>
      </c>
    </row>
    <row r="2236" spans="1:11" x14ac:dyDescent="0.2">
      <c r="A2236">
        <v>7.7527442775829103E-88</v>
      </c>
      <c r="B2236">
        <v>1.64414376181517</v>
      </c>
      <c r="C2236">
        <v>0.67100000000000004</v>
      </c>
      <c r="D2236">
        <v>5.0999999999999997E-2</v>
      </c>
      <c r="E2236">
        <v>1.20035739649816E-83</v>
      </c>
      <c r="F2236">
        <v>4</v>
      </c>
      <c r="G2236" t="s">
        <v>3931</v>
      </c>
      <c r="H2236" t="s">
        <v>3932</v>
      </c>
      <c r="I2236" t="s">
        <v>3933</v>
      </c>
      <c r="J2236" s="1" t="str">
        <f>HYPERLINK("https://zfin.org/ZDB-GENE-030131-8290")</f>
        <v>https://zfin.org/ZDB-GENE-030131-8290</v>
      </c>
      <c r="K2236" t="s">
        <v>3934</v>
      </c>
    </row>
    <row r="2237" spans="1:11" x14ac:dyDescent="0.2">
      <c r="A2237">
        <v>1.9655454578613899E-86</v>
      </c>
      <c r="B2237">
        <v>1.72178882316509</v>
      </c>
      <c r="C2237">
        <v>0.62</v>
      </c>
      <c r="D2237">
        <v>4.1000000000000002E-2</v>
      </c>
      <c r="E2237">
        <v>3.0432540324067898E-82</v>
      </c>
      <c r="F2237">
        <v>4</v>
      </c>
      <c r="G2237" t="s">
        <v>3452</v>
      </c>
      <c r="H2237" t="s">
        <v>3453</v>
      </c>
      <c r="I2237" t="s">
        <v>3452</v>
      </c>
      <c r="J2237" s="1" t="str">
        <f>HYPERLINK("https://zfin.org/ZDB-GENE-040426-2321")</f>
        <v>https://zfin.org/ZDB-GENE-040426-2321</v>
      </c>
      <c r="K2237" t="s">
        <v>3454</v>
      </c>
    </row>
    <row r="2238" spans="1:11" x14ac:dyDescent="0.2">
      <c r="A2238">
        <v>5.7528651270161101E-67</v>
      </c>
      <c r="B2238">
        <v>1.5865606906560199</v>
      </c>
      <c r="C2238">
        <v>0.72199999999999998</v>
      </c>
      <c r="D2238">
        <v>9.4E-2</v>
      </c>
      <c r="E2238">
        <v>8.9071610761590504E-63</v>
      </c>
      <c r="F2238">
        <v>4</v>
      </c>
      <c r="G2238" t="s">
        <v>3600</v>
      </c>
      <c r="H2238" t="s">
        <v>3601</v>
      </c>
      <c r="I2238" t="s">
        <v>3600</v>
      </c>
      <c r="J2238" s="1" t="str">
        <f>HYPERLINK("https://zfin.org/ZDB-GENE-980526-114")</f>
        <v>https://zfin.org/ZDB-GENE-980526-114</v>
      </c>
      <c r="K2238" t="s">
        <v>3602</v>
      </c>
    </row>
    <row r="2239" spans="1:11" x14ac:dyDescent="0.2">
      <c r="A2239">
        <v>1.91524140095425E-61</v>
      </c>
      <c r="B2239">
        <v>1.4745259889207301</v>
      </c>
      <c r="C2239">
        <v>0.70899999999999996</v>
      </c>
      <c r="D2239">
        <v>0.1</v>
      </c>
      <c r="E2239">
        <v>2.9653682610974697E-57</v>
      </c>
      <c r="F2239">
        <v>4</v>
      </c>
      <c r="G2239" t="s">
        <v>3508</v>
      </c>
      <c r="H2239" t="s">
        <v>3509</v>
      </c>
      <c r="I2239" t="s">
        <v>3508</v>
      </c>
      <c r="J2239" s="1" t="str">
        <f>HYPERLINK("https://zfin.org/ZDB-GENE-030131-5561")</f>
        <v>https://zfin.org/ZDB-GENE-030131-5561</v>
      </c>
      <c r="K2239" t="s">
        <v>3510</v>
      </c>
    </row>
    <row r="2240" spans="1:11" x14ac:dyDescent="0.2">
      <c r="A2240">
        <v>1.86058962100222E-57</v>
      </c>
      <c r="B2240">
        <v>2.11644076018997</v>
      </c>
      <c r="C2240">
        <v>0.62</v>
      </c>
      <c r="D2240">
        <v>7.3999999999999996E-2</v>
      </c>
      <c r="E2240">
        <v>2.8807509101977402E-53</v>
      </c>
      <c r="F2240">
        <v>4</v>
      </c>
      <c r="G2240" t="s">
        <v>5316</v>
      </c>
      <c r="H2240" t="s">
        <v>5317</v>
      </c>
      <c r="I2240" t="s">
        <v>5318</v>
      </c>
      <c r="J2240" s="1" t="str">
        <f>HYPERLINK("https://zfin.org/ZDB-GENE-060815-1")</f>
        <v>https://zfin.org/ZDB-GENE-060815-1</v>
      </c>
      <c r="K2240" t="s">
        <v>5319</v>
      </c>
    </row>
    <row r="2241" spans="1:11" x14ac:dyDescent="0.2">
      <c r="A2241">
        <v>6.3120464350409003E-55</v>
      </c>
      <c r="B2241">
        <v>0.70274683513446601</v>
      </c>
      <c r="C2241">
        <v>0.26600000000000001</v>
      </c>
      <c r="D2241">
        <v>8.0000000000000002E-3</v>
      </c>
      <c r="E2241">
        <v>9.7729414953738304E-51</v>
      </c>
      <c r="F2241">
        <v>4</v>
      </c>
      <c r="G2241" t="s">
        <v>5320</v>
      </c>
      <c r="H2241" t="s">
        <v>5321</v>
      </c>
      <c r="I2241" t="s">
        <v>5320</v>
      </c>
      <c r="J2241" s="1" t="str">
        <f>HYPERLINK("https://zfin.org/ZDB-GENE-990415-277")</f>
        <v>https://zfin.org/ZDB-GENE-990415-277</v>
      </c>
      <c r="K2241" t="s">
        <v>5322</v>
      </c>
    </row>
    <row r="2242" spans="1:11" x14ac:dyDescent="0.2">
      <c r="A2242">
        <v>9.5169392408094307E-55</v>
      </c>
      <c r="B2242">
        <v>0.96708038933348495</v>
      </c>
      <c r="C2242">
        <v>0.36699999999999999</v>
      </c>
      <c r="D2242">
        <v>2.1000000000000001E-2</v>
      </c>
      <c r="E2242">
        <v>1.47350770265452E-50</v>
      </c>
      <c r="F2242">
        <v>4</v>
      </c>
      <c r="G2242" t="s">
        <v>4073</v>
      </c>
      <c r="H2242" t="s">
        <v>4074</v>
      </c>
      <c r="I2242" t="s">
        <v>4073</v>
      </c>
      <c r="J2242" s="1" t="str">
        <f>HYPERLINK("https://zfin.org/ZDB-GENE-040426-1810")</f>
        <v>https://zfin.org/ZDB-GENE-040426-1810</v>
      </c>
      <c r="K2242" t="s">
        <v>4075</v>
      </c>
    </row>
    <row r="2243" spans="1:11" x14ac:dyDescent="0.2">
      <c r="A2243">
        <v>1.0339950356437E-54</v>
      </c>
      <c r="B2243">
        <v>1.9166912647082801</v>
      </c>
      <c r="C2243">
        <v>0.53200000000000003</v>
      </c>
      <c r="D2243">
        <v>5.3999999999999999E-2</v>
      </c>
      <c r="E2243">
        <v>1.60093451368714E-50</v>
      </c>
      <c r="F2243">
        <v>4</v>
      </c>
      <c r="G2243" t="s">
        <v>5318</v>
      </c>
      <c r="H2243" t="s">
        <v>5323</v>
      </c>
      <c r="I2243" t="s">
        <v>5318</v>
      </c>
      <c r="J2243" s="1" t="str">
        <f>HYPERLINK("https://zfin.org/ZDB-GENE-060815-1")</f>
        <v>https://zfin.org/ZDB-GENE-060815-1</v>
      </c>
      <c r="K2243" t="s">
        <v>5319</v>
      </c>
    </row>
    <row r="2244" spans="1:11" x14ac:dyDescent="0.2">
      <c r="A2244">
        <v>3.2357016730601202E-54</v>
      </c>
      <c r="B2244">
        <v>1.55716168533173</v>
      </c>
      <c r="C2244">
        <v>0.82299999999999995</v>
      </c>
      <c r="D2244">
        <v>0.17199999999999999</v>
      </c>
      <c r="E2244">
        <v>5.0098369003989899E-50</v>
      </c>
      <c r="F2244">
        <v>4</v>
      </c>
      <c r="G2244" t="s">
        <v>5324</v>
      </c>
      <c r="H2244" t="s">
        <v>5325</v>
      </c>
      <c r="I2244" t="s">
        <v>5324</v>
      </c>
      <c r="J2244" s="1" t="str">
        <f>HYPERLINK("https://zfin.org/ZDB-GENE-980526-29")</f>
        <v>https://zfin.org/ZDB-GENE-980526-29</v>
      </c>
      <c r="K2244" t="s">
        <v>5326</v>
      </c>
    </row>
    <row r="2245" spans="1:11" x14ac:dyDescent="0.2">
      <c r="A2245">
        <v>1.2384666928872399E-50</v>
      </c>
      <c r="B2245">
        <v>1.19157862571898</v>
      </c>
      <c r="C2245">
        <v>0.55700000000000005</v>
      </c>
      <c r="D2245">
        <v>6.7000000000000004E-2</v>
      </c>
      <c r="E2245">
        <v>1.9175179805973101E-46</v>
      </c>
      <c r="F2245">
        <v>4</v>
      </c>
      <c r="G2245" t="s">
        <v>4286</v>
      </c>
      <c r="H2245" t="s">
        <v>4287</v>
      </c>
      <c r="I2245" t="s">
        <v>4286</v>
      </c>
      <c r="J2245" s="1" t="str">
        <f>HYPERLINK("https://zfin.org/ZDB-GENE-080804-1")</f>
        <v>https://zfin.org/ZDB-GENE-080804-1</v>
      </c>
      <c r="K2245" t="s">
        <v>4288</v>
      </c>
    </row>
    <row r="2246" spans="1:11" x14ac:dyDescent="0.2">
      <c r="A2246">
        <v>1.4777137596506299E-50</v>
      </c>
      <c r="B2246">
        <v>1.08777776685439</v>
      </c>
      <c r="C2246">
        <v>0.39200000000000002</v>
      </c>
      <c r="D2246">
        <v>2.8000000000000001E-2</v>
      </c>
      <c r="E2246">
        <v>2.28794421406707E-46</v>
      </c>
      <c r="F2246">
        <v>4</v>
      </c>
      <c r="G2246" t="s">
        <v>3422</v>
      </c>
      <c r="H2246" t="s">
        <v>3423</v>
      </c>
      <c r="I2246" t="s">
        <v>3422</v>
      </c>
      <c r="J2246" s="1" t="str">
        <f>HYPERLINK("https://zfin.org/ZDB-GENE-030131-2602")</f>
        <v>https://zfin.org/ZDB-GENE-030131-2602</v>
      </c>
      <c r="K2246" t="s">
        <v>3424</v>
      </c>
    </row>
    <row r="2247" spans="1:11" x14ac:dyDescent="0.2">
      <c r="A2247">
        <v>1.1258770460963799E-48</v>
      </c>
      <c r="B2247">
        <v>0.934796026938436</v>
      </c>
      <c r="C2247">
        <v>0.50600000000000001</v>
      </c>
      <c r="D2247">
        <v>5.7000000000000002E-2</v>
      </c>
      <c r="E2247">
        <v>1.74319543047102E-44</v>
      </c>
      <c r="F2247">
        <v>4</v>
      </c>
      <c r="G2247" t="s">
        <v>3546</v>
      </c>
      <c r="H2247" t="s">
        <v>3547</v>
      </c>
      <c r="I2247" t="s">
        <v>3546</v>
      </c>
      <c r="J2247" s="1" t="str">
        <f>HYPERLINK("https://zfin.org/ZDB-GENE-070912-181")</f>
        <v>https://zfin.org/ZDB-GENE-070912-181</v>
      </c>
      <c r="K2247" t="s">
        <v>3548</v>
      </c>
    </row>
    <row r="2248" spans="1:11" x14ac:dyDescent="0.2">
      <c r="A2248">
        <v>1.38219527995873E-44</v>
      </c>
      <c r="B2248">
        <v>1.5126967738516299</v>
      </c>
      <c r="C2248">
        <v>0.73399999999999999</v>
      </c>
      <c r="D2248">
        <v>0.154</v>
      </c>
      <c r="E2248">
        <v>2.1400529519601001E-40</v>
      </c>
      <c r="F2248">
        <v>4</v>
      </c>
      <c r="G2248" t="s">
        <v>2066</v>
      </c>
      <c r="H2248" t="s">
        <v>2067</v>
      </c>
      <c r="I2248" t="s">
        <v>2066</v>
      </c>
      <c r="J2248" s="1" t="str">
        <f>HYPERLINK("https://zfin.org/ZDB-GENE-990415-17")</f>
        <v>https://zfin.org/ZDB-GENE-990415-17</v>
      </c>
      <c r="K2248" t="s">
        <v>2068</v>
      </c>
    </row>
    <row r="2249" spans="1:11" x14ac:dyDescent="0.2">
      <c r="A2249">
        <v>1.0784859743586599E-40</v>
      </c>
      <c r="B2249">
        <v>0.85286602483796103</v>
      </c>
      <c r="C2249">
        <v>0.34200000000000003</v>
      </c>
      <c r="D2249">
        <v>2.7E-2</v>
      </c>
      <c r="E2249">
        <v>1.6698198340995102E-36</v>
      </c>
      <c r="F2249">
        <v>4</v>
      </c>
      <c r="G2249" t="s">
        <v>3461</v>
      </c>
      <c r="H2249" t="s">
        <v>3462</v>
      </c>
      <c r="I2249" t="s">
        <v>3461</v>
      </c>
      <c r="J2249" s="1" t="str">
        <f>HYPERLINK("https://zfin.org/ZDB-GENE-050208-34")</f>
        <v>https://zfin.org/ZDB-GENE-050208-34</v>
      </c>
      <c r="K2249" t="s">
        <v>3463</v>
      </c>
    </row>
    <row r="2250" spans="1:11" x14ac:dyDescent="0.2">
      <c r="A2250">
        <v>1.1793931965451399E-40</v>
      </c>
      <c r="B2250">
        <v>1.36584347673925</v>
      </c>
      <c r="C2250">
        <v>0.55700000000000005</v>
      </c>
      <c r="D2250">
        <v>8.6999999999999994E-2</v>
      </c>
      <c r="E2250">
        <v>1.8260544862108401E-36</v>
      </c>
      <c r="F2250">
        <v>4</v>
      </c>
      <c r="G2250" t="s">
        <v>3520</v>
      </c>
      <c r="H2250" t="s">
        <v>3521</v>
      </c>
      <c r="I2250" t="s">
        <v>3520</v>
      </c>
      <c r="J2250" s="1" t="str">
        <f>HYPERLINK("https://zfin.org/ZDB-GENE-081105-161")</f>
        <v>https://zfin.org/ZDB-GENE-081105-161</v>
      </c>
      <c r="K2250" t="s">
        <v>3522</v>
      </c>
    </row>
    <row r="2251" spans="1:11" x14ac:dyDescent="0.2">
      <c r="A2251">
        <v>1.0626221176030701E-39</v>
      </c>
      <c r="B2251">
        <v>1.5825377716398901</v>
      </c>
      <c r="C2251">
        <v>0.30399999999999999</v>
      </c>
      <c r="D2251">
        <v>2.1999999999999999E-2</v>
      </c>
      <c r="E2251">
        <v>1.6452578246848299E-35</v>
      </c>
      <c r="F2251">
        <v>4</v>
      </c>
      <c r="G2251" t="s">
        <v>5327</v>
      </c>
      <c r="H2251" t="s">
        <v>5328</v>
      </c>
      <c r="I2251" t="s">
        <v>5327</v>
      </c>
      <c r="J2251" s="1" t="str">
        <f>HYPERLINK("https://zfin.org/ZDB-GENE-060825-55")</f>
        <v>https://zfin.org/ZDB-GENE-060825-55</v>
      </c>
      <c r="K2251" t="s">
        <v>5329</v>
      </c>
    </row>
    <row r="2252" spans="1:11" x14ac:dyDescent="0.2">
      <c r="A2252">
        <v>6.6516926177124701E-39</v>
      </c>
      <c r="B2252">
        <v>2.0434272705847798</v>
      </c>
      <c r="C2252">
        <v>0.94899999999999995</v>
      </c>
      <c r="D2252">
        <v>0.46300000000000002</v>
      </c>
      <c r="E2252">
        <v>1.0298815680004201E-34</v>
      </c>
      <c r="F2252">
        <v>4</v>
      </c>
      <c r="G2252" t="s">
        <v>5330</v>
      </c>
      <c r="H2252" t="s">
        <v>5331</v>
      </c>
      <c r="I2252" t="s">
        <v>5330</v>
      </c>
      <c r="J2252" s="1" t="str">
        <f>HYPERLINK("https://zfin.org/ZDB-GENE-080917-47")</f>
        <v>https://zfin.org/ZDB-GENE-080917-47</v>
      </c>
      <c r="K2252" t="s">
        <v>5332</v>
      </c>
    </row>
    <row r="2253" spans="1:11" x14ac:dyDescent="0.2">
      <c r="A2253">
        <v>2.6795431047044101E-38</v>
      </c>
      <c r="B2253">
        <v>1.81616944191596</v>
      </c>
      <c r="C2253">
        <v>0.54400000000000004</v>
      </c>
      <c r="D2253">
        <v>9.2999999999999999E-2</v>
      </c>
      <c r="E2253">
        <v>4.1487365890138503E-34</v>
      </c>
      <c r="F2253">
        <v>4</v>
      </c>
      <c r="G2253" t="s">
        <v>5333</v>
      </c>
      <c r="H2253" t="s">
        <v>5334</v>
      </c>
      <c r="I2253" t="s">
        <v>5333</v>
      </c>
      <c r="J2253" s="1" t="str">
        <f>HYPERLINK("https://zfin.org/ZDB-GENE-980526-521")</f>
        <v>https://zfin.org/ZDB-GENE-980526-521</v>
      </c>
      <c r="K2253" t="s">
        <v>5335</v>
      </c>
    </row>
    <row r="2254" spans="1:11" x14ac:dyDescent="0.2">
      <c r="A2254">
        <v>2.4205170268715801E-37</v>
      </c>
      <c r="B2254">
        <v>0.50409597981323395</v>
      </c>
      <c r="C2254">
        <v>0.24099999999999999</v>
      </c>
      <c r="D2254">
        <v>1.2E-2</v>
      </c>
      <c r="E2254">
        <v>3.7476865127052701E-33</v>
      </c>
      <c r="F2254">
        <v>4</v>
      </c>
      <c r="G2254" t="s">
        <v>3621</v>
      </c>
      <c r="H2254" t="s">
        <v>3622</v>
      </c>
      <c r="I2254" t="s">
        <v>3621</v>
      </c>
      <c r="J2254" s="1" t="str">
        <f>HYPERLINK("https://zfin.org/ZDB-GENE-000125-4")</f>
        <v>https://zfin.org/ZDB-GENE-000125-4</v>
      </c>
      <c r="K2254" t="s">
        <v>3623</v>
      </c>
    </row>
    <row r="2255" spans="1:11" x14ac:dyDescent="0.2">
      <c r="A2255">
        <v>1.02283258923169E-32</v>
      </c>
      <c r="B2255">
        <v>0.81503126826226402</v>
      </c>
      <c r="C2255">
        <v>1</v>
      </c>
      <c r="D2255">
        <v>0.96699999999999997</v>
      </c>
      <c r="E2255">
        <v>1.5836516979074301E-28</v>
      </c>
      <c r="F2255">
        <v>4</v>
      </c>
      <c r="G2255" t="s">
        <v>1071</v>
      </c>
      <c r="H2255" t="s">
        <v>1072</v>
      </c>
      <c r="I2255" t="s">
        <v>1071</v>
      </c>
      <c r="J2255" s="1" t="str">
        <f>HYPERLINK("https://zfin.org/ZDB-GENE-070327-2")</f>
        <v>https://zfin.org/ZDB-GENE-070327-2</v>
      </c>
      <c r="K2255" t="s">
        <v>1073</v>
      </c>
    </row>
    <row r="2256" spans="1:11" x14ac:dyDescent="0.2">
      <c r="A2256">
        <v>2.3681835782072299E-30</v>
      </c>
      <c r="B2256">
        <v>1.0621365030774399</v>
      </c>
      <c r="C2256">
        <v>0.43</v>
      </c>
      <c r="D2256">
        <v>6.4000000000000001E-2</v>
      </c>
      <c r="E2256">
        <v>3.6666586341382601E-26</v>
      </c>
      <c r="F2256">
        <v>4</v>
      </c>
      <c r="G2256" t="s">
        <v>4334</v>
      </c>
      <c r="H2256" t="s">
        <v>4335</v>
      </c>
      <c r="I2256" t="s">
        <v>4334</v>
      </c>
      <c r="J2256" s="1" t="str">
        <f>HYPERLINK("https://zfin.org/ZDB-GENE-030404-1")</f>
        <v>https://zfin.org/ZDB-GENE-030404-1</v>
      </c>
      <c r="K2256" t="s">
        <v>4336</v>
      </c>
    </row>
    <row r="2257" spans="1:11" x14ac:dyDescent="0.2">
      <c r="A2257">
        <v>6.5915413798406705E-30</v>
      </c>
      <c r="B2257">
        <v>1.03706884783511</v>
      </c>
      <c r="C2257">
        <v>0.49399999999999999</v>
      </c>
      <c r="D2257">
        <v>9.1999999999999998E-2</v>
      </c>
      <c r="E2257">
        <v>1.0205683518407301E-25</v>
      </c>
      <c r="F2257">
        <v>4</v>
      </c>
      <c r="G2257" t="s">
        <v>5336</v>
      </c>
      <c r="H2257" t="s">
        <v>5337</v>
      </c>
      <c r="I2257" t="s">
        <v>5336</v>
      </c>
      <c r="J2257" s="1" t="str">
        <f>HYPERLINK("https://zfin.org/ZDB-GENE-050208-448")</f>
        <v>https://zfin.org/ZDB-GENE-050208-448</v>
      </c>
      <c r="K2257" t="s">
        <v>5338</v>
      </c>
    </row>
    <row r="2258" spans="1:11" x14ac:dyDescent="0.2">
      <c r="A2258">
        <v>3.6206911722996698E-29</v>
      </c>
      <c r="B2258">
        <v>1.4427787219241901</v>
      </c>
      <c r="C2258">
        <v>0.70899999999999996</v>
      </c>
      <c r="D2258">
        <v>0.20100000000000001</v>
      </c>
      <c r="E2258">
        <v>5.6059161420715697E-25</v>
      </c>
      <c r="F2258">
        <v>4</v>
      </c>
      <c r="G2258" t="s">
        <v>4328</v>
      </c>
      <c r="H2258" t="s">
        <v>4329</v>
      </c>
      <c r="I2258" t="s">
        <v>4328</v>
      </c>
      <c r="J2258" s="1" t="str">
        <f>HYPERLINK("https://zfin.org/ZDB-GENE-031006-14")</f>
        <v>https://zfin.org/ZDB-GENE-031006-14</v>
      </c>
      <c r="K2258" t="s">
        <v>4330</v>
      </c>
    </row>
    <row r="2259" spans="1:11" x14ac:dyDescent="0.2">
      <c r="A2259">
        <v>5.7740001222247197E-29</v>
      </c>
      <c r="B2259">
        <v>1.5293026299588499</v>
      </c>
      <c r="C2259">
        <v>0.91100000000000003</v>
      </c>
      <c r="D2259">
        <v>0.49299999999999999</v>
      </c>
      <c r="E2259">
        <v>8.9398843892405403E-25</v>
      </c>
      <c r="F2259">
        <v>4</v>
      </c>
      <c r="G2259" t="s">
        <v>3086</v>
      </c>
      <c r="H2259" t="s">
        <v>3087</v>
      </c>
      <c r="I2259" t="s">
        <v>3086</v>
      </c>
      <c r="J2259" s="1" t="str">
        <f>HYPERLINK("https://zfin.org/ZDB-GENE-030131-247")</f>
        <v>https://zfin.org/ZDB-GENE-030131-247</v>
      </c>
      <c r="K2259" t="s">
        <v>3088</v>
      </c>
    </row>
    <row r="2260" spans="1:11" x14ac:dyDescent="0.2">
      <c r="A2260">
        <v>1.0566775798224901E-28</v>
      </c>
      <c r="B2260">
        <v>0.307641105080938</v>
      </c>
      <c r="C2260">
        <v>0.13900000000000001</v>
      </c>
      <c r="D2260">
        <v>4.0000000000000001E-3</v>
      </c>
      <c r="E2260">
        <v>1.6360538968391501E-24</v>
      </c>
      <c r="F2260">
        <v>4</v>
      </c>
      <c r="G2260" t="s">
        <v>5339</v>
      </c>
      <c r="H2260" t="s">
        <v>5340</v>
      </c>
      <c r="I2260" t="s">
        <v>5339</v>
      </c>
      <c r="J2260" s="1" t="str">
        <f>HYPERLINK("https://zfin.org/ZDB-GENE-010131-6")</f>
        <v>https://zfin.org/ZDB-GENE-010131-6</v>
      </c>
      <c r="K2260" t="s">
        <v>5341</v>
      </c>
    </row>
    <row r="2261" spans="1:11" x14ac:dyDescent="0.2">
      <c r="A2261">
        <v>1.8462320791248799E-28</v>
      </c>
      <c r="B2261">
        <v>0.63967955109547003</v>
      </c>
      <c r="C2261">
        <v>0.316</v>
      </c>
      <c r="D2261">
        <v>3.5999999999999997E-2</v>
      </c>
      <c r="E2261">
        <v>2.8585211281090502E-24</v>
      </c>
      <c r="F2261">
        <v>4</v>
      </c>
      <c r="G2261" t="s">
        <v>5342</v>
      </c>
      <c r="H2261" t="s">
        <v>5343</v>
      </c>
      <c r="I2261" t="s">
        <v>5342</v>
      </c>
      <c r="J2261" s="1" t="str">
        <f>HYPERLINK("https://zfin.org/ZDB-GENE-040426-1247")</f>
        <v>https://zfin.org/ZDB-GENE-040426-1247</v>
      </c>
      <c r="K2261" t="s">
        <v>5344</v>
      </c>
    </row>
    <row r="2262" spans="1:11" x14ac:dyDescent="0.2">
      <c r="A2262">
        <v>2.05688963148488E-28</v>
      </c>
      <c r="B2262">
        <v>0.85361100543245205</v>
      </c>
      <c r="C2262">
        <v>0.35399999999999998</v>
      </c>
      <c r="D2262">
        <v>4.5999999999999999E-2</v>
      </c>
      <c r="E2262">
        <v>3.18468221642804E-24</v>
      </c>
      <c r="F2262">
        <v>4</v>
      </c>
      <c r="G2262" t="s">
        <v>4313</v>
      </c>
      <c r="H2262" t="s">
        <v>4314</v>
      </c>
      <c r="I2262" t="s">
        <v>4313</v>
      </c>
      <c r="J2262" s="1" t="str">
        <f>HYPERLINK("https://zfin.org/ZDB-GENE-030131-9771")</f>
        <v>https://zfin.org/ZDB-GENE-030131-9771</v>
      </c>
      <c r="K2262" t="s">
        <v>4315</v>
      </c>
    </row>
    <row r="2263" spans="1:11" x14ac:dyDescent="0.2">
      <c r="A2263">
        <v>2.7950866543641002E-28</v>
      </c>
      <c r="B2263">
        <v>0.43649063341779598</v>
      </c>
      <c r="C2263">
        <v>0.17699999999999999</v>
      </c>
      <c r="D2263">
        <v>8.9999999999999993E-3</v>
      </c>
      <c r="E2263">
        <v>4.3276326669519399E-24</v>
      </c>
      <c r="F2263">
        <v>4</v>
      </c>
      <c r="G2263" t="s">
        <v>5345</v>
      </c>
      <c r="H2263" t="s">
        <v>5346</v>
      </c>
      <c r="I2263" t="s">
        <v>5345</v>
      </c>
      <c r="J2263" s="1" t="str">
        <f>HYPERLINK("https://zfin.org/ZDB-GENE-040624-11")</f>
        <v>https://zfin.org/ZDB-GENE-040624-11</v>
      </c>
      <c r="K2263" t="s">
        <v>5347</v>
      </c>
    </row>
    <row r="2264" spans="1:11" x14ac:dyDescent="0.2">
      <c r="A2264">
        <v>3.2208509284842698E-28</v>
      </c>
      <c r="B2264">
        <v>0.59030450367681098</v>
      </c>
      <c r="C2264">
        <v>1</v>
      </c>
      <c r="D2264">
        <v>0.999</v>
      </c>
      <c r="E2264">
        <v>4.9868434925722004E-24</v>
      </c>
      <c r="F2264">
        <v>4</v>
      </c>
      <c r="G2264" t="s">
        <v>818</v>
      </c>
      <c r="H2264" t="s">
        <v>819</v>
      </c>
      <c r="I2264" t="s">
        <v>818</v>
      </c>
      <c r="J2264" s="1" t="str">
        <f>HYPERLINK("https://zfin.org/ZDB-GENE-030131-7528")</f>
        <v>https://zfin.org/ZDB-GENE-030131-7528</v>
      </c>
      <c r="K2264" t="s">
        <v>820</v>
      </c>
    </row>
    <row r="2265" spans="1:11" x14ac:dyDescent="0.2">
      <c r="A2265">
        <v>7.0090992452443799E-28</v>
      </c>
      <c r="B2265">
        <v>0.66890308376318197</v>
      </c>
      <c r="C2265">
        <v>0.27800000000000002</v>
      </c>
      <c r="D2265">
        <v>2.8000000000000001E-2</v>
      </c>
      <c r="E2265">
        <v>1.08521883614119E-23</v>
      </c>
      <c r="F2265">
        <v>4</v>
      </c>
      <c r="G2265" t="s">
        <v>3727</v>
      </c>
      <c r="H2265" t="s">
        <v>3728</v>
      </c>
      <c r="I2265" t="s">
        <v>3727</v>
      </c>
      <c r="J2265" s="1" t="str">
        <f>HYPERLINK("https://zfin.org/ZDB-GENE-041111-281")</f>
        <v>https://zfin.org/ZDB-GENE-041111-281</v>
      </c>
      <c r="K2265" t="s">
        <v>3729</v>
      </c>
    </row>
    <row r="2266" spans="1:11" x14ac:dyDescent="0.2">
      <c r="A2266">
        <v>4.5286016554652202E-27</v>
      </c>
      <c r="B2266">
        <v>0.41637840757117001</v>
      </c>
      <c r="C2266">
        <v>0.127</v>
      </c>
      <c r="D2266">
        <v>3.0000000000000001E-3</v>
      </c>
      <c r="E2266">
        <v>7.0116339431568E-23</v>
      </c>
      <c r="F2266">
        <v>4</v>
      </c>
      <c r="G2266" t="s">
        <v>5348</v>
      </c>
      <c r="H2266" t="s">
        <v>5349</v>
      </c>
      <c r="I2266" t="s">
        <v>5348</v>
      </c>
      <c r="J2266" s="1" t="str">
        <f>HYPERLINK("https://zfin.org/ZDB-GENE-080204-3")</f>
        <v>https://zfin.org/ZDB-GENE-080204-3</v>
      </c>
      <c r="K2266" t="s">
        <v>5350</v>
      </c>
    </row>
    <row r="2267" spans="1:11" x14ac:dyDescent="0.2">
      <c r="A2267">
        <v>8.5861053454543006E-27</v>
      </c>
      <c r="B2267">
        <v>0.61420773973061804</v>
      </c>
      <c r="C2267">
        <v>1</v>
      </c>
      <c r="D2267">
        <v>0.97</v>
      </c>
      <c r="E2267">
        <v>1.32938669063669E-22</v>
      </c>
      <c r="F2267">
        <v>4</v>
      </c>
      <c r="G2267" t="s">
        <v>1715</v>
      </c>
      <c r="H2267" t="s">
        <v>1716</v>
      </c>
      <c r="I2267" t="s">
        <v>1715</v>
      </c>
      <c r="J2267" s="1" t="str">
        <f>HYPERLINK("https://zfin.org/ZDB-GENE-040426-811")</f>
        <v>https://zfin.org/ZDB-GENE-040426-811</v>
      </c>
      <c r="K2267" t="s">
        <v>1717</v>
      </c>
    </row>
    <row r="2268" spans="1:11" x14ac:dyDescent="0.2">
      <c r="A2268">
        <v>1.6403433415498099E-26</v>
      </c>
      <c r="B2268">
        <v>1.1482160053977799</v>
      </c>
      <c r="C2268">
        <v>0.60799999999999998</v>
      </c>
      <c r="D2268">
        <v>0.16</v>
      </c>
      <c r="E2268">
        <v>2.53974359572157E-22</v>
      </c>
      <c r="F2268">
        <v>4</v>
      </c>
      <c r="G2268" t="s">
        <v>3703</v>
      </c>
      <c r="H2268" t="s">
        <v>3704</v>
      </c>
      <c r="I2268" t="s">
        <v>3703</v>
      </c>
      <c r="J2268" s="1" t="str">
        <f>HYPERLINK("https://zfin.org/ZDB-GENE-040123-1")</f>
        <v>https://zfin.org/ZDB-GENE-040123-1</v>
      </c>
      <c r="K2268" t="s">
        <v>3705</v>
      </c>
    </row>
    <row r="2269" spans="1:11" x14ac:dyDescent="0.2">
      <c r="A2269">
        <v>6.7765824006188405E-26</v>
      </c>
      <c r="B2269">
        <v>0.68119538876672803</v>
      </c>
      <c r="C2269">
        <v>0.253</v>
      </c>
      <c r="D2269">
        <v>2.5000000000000001E-2</v>
      </c>
      <c r="E2269">
        <v>1.0492182530878199E-21</v>
      </c>
      <c r="F2269">
        <v>4</v>
      </c>
      <c r="G2269" t="s">
        <v>4387</v>
      </c>
      <c r="H2269" t="s">
        <v>4388</v>
      </c>
      <c r="I2269" t="s">
        <v>4387</v>
      </c>
      <c r="J2269" s="1" t="str">
        <f>HYPERLINK("https://zfin.org/ZDB-GENE-041024-3")</f>
        <v>https://zfin.org/ZDB-GENE-041024-3</v>
      </c>
      <c r="K2269" t="s">
        <v>4389</v>
      </c>
    </row>
    <row r="2270" spans="1:11" x14ac:dyDescent="0.2">
      <c r="A2270">
        <v>1.76940683431433E-25</v>
      </c>
      <c r="B2270">
        <v>0.44031067069228402</v>
      </c>
      <c r="C2270">
        <v>0.13900000000000001</v>
      </c>
      <c r="D2270">
        <v>6.0000000000000001E-3</v>
      </c>
      <c r="E2270">
        <v>2.73957260156887E-21</v>
      </c>
      <c r="F2270">
        <v>4</v>
      </c>
      <c r="G2270" t="s">
        <v>5351</v>
      </c>
      <c r="H2270" t="s">
        <v>5352</v>
      </c>
      <c r="I2270" t="s">
        <v>5351</v>
      </c>
      <c r="J2270" s="1" t="str">
        <f>HYPERLINK("https://zfin.org/ZDB-GENE-081105-13")</f>
        <v>https://zfin.org/ZDB-GENE-081105-13</v>
      </c>
      <c r="K2270" t="s">
        <v>5353</v>
      </c>
    </row>
    <row r="2271" spans="1:11" x14ac:dyDescent="0.2">
      <c r="A2271">
        <v>2.66463523091869E-24</v>
      </c>
      <c r="B2271">
        <v>0.91252467903073597</v>
      </c>
      <c r="C2271">
        <v>0.48099999999999998</v>
      </c>
      <c r="D2271">
        <v>0.104</v>
      </c>
      <c r="E2271">
        <v>4.1256547280314102E-20</v>
      </c>
      <c r="F2271">
        <v>4</v>
      </c>
      <c r="G2271" t="s">
        <v>4618</v>
      </c>
      <c r="H2271" t="s">
        <v>4619</v>
      </c>
      <c r="I2271" t="s">
        <v>4618</v>
      </c>
      <c r="J2271" s="1" t="str">
        <f>HYPERLINK("https://zfin.org/ZDB-GENE-020419-27")</f>
        <v>https://zfin.org/ZDB-GENE-020419-27</v>
      </c>
      <c r="K2271" t="s">
        <v>4620</v>
      </c>
    </row>
    <row r="2272" spans="1:11" x14ac:dyDescent="0.2">
      <c r="A2272">
        <v>5.5956346095696202E-24</v>
      </c>
      <c r="B2272">
        <v>0.77878603012921799</v>
      </c>
      <c r="C2272">
        <v>0.67100000000000004</v>
      </c>
      <c r="D2272">
        <v>0.183</v>
      </c>
      <c r="E2272">
        <v>8.6637210659966401E-20</v>
      </c>
      <c r="F2272">
        <v>4</v>
      </c>
      <c r="G2272" t="s">
        <v>371</v>
      </c>
      <c r="H2272" t="s">
        <v>372</v>
      </c>
      <c r="I2272" t="s">
        <v>371</v>
      </c>
      <c r="J2272" s="1" t="str">
        <f>HYPERLINK("https://zfin.org/ZDB-GENE-040628-1")</f>
        <v>https://zfin.org/ZDB-GENE-040628-1</v>
      </c>
      <c r="K2272" t="s">
        <v>373</v>
      </c>
    </row>
    <row r="2273" spans="1:11" x14ac:dyDescent="0.2">
      <c r="A2273">
        <v>1.9939219743760999E-23</v>
      </c>
      <c r="B2273">
        <v>0.52703697284198303</v>
      </c>
      <c r="C2273">
        <v>1</v>
      </c>
      <c r="D2273">
        <v>0.99399999999999999</v>
      </c>
      <c r="E2273">
        <v>3.0871893929265101E-19</v>
      </c>
      <c r="F2273">
        <v>4</v>
      </c>
      <c r="G2273" t="s">
        <v>914</v>
      </c>
      <c r="H2273" t="s">
        <v>915</v>
      </c>
      <c r="I2273" t="s">
        <v>914</v>
      </c>
      <c r="J2273" s="1" t="str">
        <f>HYPERLINK("https://zfin.org/ZDB-GENE-030131-8663")</f>
        <v>https://zfin.org/ZDB-GENE-030131-8663</v>
      </c>
      <c r="K2273" t="s">
        <v>916</v>
      </c>
    </row>
    <row r="2274" spans="1:11" x14ac:dyDescent="0.2">
      <c r="A2274">
        <v>2.6162678958546399E-23</v>
      </c>
      <c r="B2274">
        <v>0.39351549677684999</v>
      </c>
      <c r="C2274">
        <v>0.26600000000000001</v>
      </c>
      <c r="D2274">
        <v>3.1E-2</v>
      </c>
      <c r="E2274">
        <v>4.0507675831517302E-19</v>
      </c>
      <c r="F2274">
        <v>4</v>
      </c>
      <c r="G2274" t="s">
        <v>5113</v>
      </c>
      <c r="H2274" t="s">
        <v>5114</v>
      </c>
      <c r="I2274" t="s">
        <v>5113</v>
      </c>
      <c r="J2274" s="1" t="str">
        <f>HYPERLINK("https://zfin.org/ZDB-GENE-040426-2757")</f>
        <v>https://zfin.org/ZDB-GENE-040426-2757</v>
      </c>
      <c r="K2274" t="s">
        <v>5115</v>
      </c>
    </row>
    <row r="2275" spans="1:11" x14ac:dyDescent="0.2">
      <c r="A2275">
        <v>3.2006367628080401E-23</v>
      </c>
      <c r="B2275">
        <v>0.98082366732232895</v>
      </c>
      <c r="C2275">
        <v>0.36699999999999999</v>
      </c>
      <c r="D2275">
        <v>6.4000000000000001E-2</v>
      </c>
      <c r="E2275">
        <v>4.9555458998556901E-19</v>
      </c>
      <c r="F2275">
        <v>4</v>
      </c>
      <c r="G2275" t="s">
        <v>3793</v>
      </c>
      <c r="H2275" t="s">
        <v>3794</v>
      </c>
      <c r="I2275" t="s">
        <v>3793</v>
      </c>
      <c r="J2275" s="1" t="str">
        <f>HYPERLINK("https://zfin.org/ZDB-GENE-040426-1882")</f>
        <v>https://zfin.org/ZDB-GENE-040426-1882</v>
      </c>
      <c r="K2275" t="s">
        <v>3795</v>
      </c>
    </row>
    <row r="2276" spans="1:11" x14ac:dyDescent="0.2">
      <c r="A2276">
        <v>1.08529575546317E-22</v>
      </c>
      <c r="B2276">
        <v>0.55945144071572905</v>
      </c>
      <c r="C2276">
        <v>0.30399999999999999</v>
      </c>
      <c r="D2276">
        <v>4.2000000000000003E-2</v>
      </c>
      <c r="E2276">
        <v>1.68036341818362E-18</v>
      </c>
      <c r="F2276">
        <v>4</v>
      </c>
      <c r="G2276" t="s">
        <v>4187</v>
      </c>
      <c r="H2276" t="s">
        <v>4188</v>
      </c>
      <c r="I2276" t="s">
        <v>4187</v>
      </c>
      <c r="J2276" s="1" t="str">
        <f>HYPERLINK("https://zfin.org/ZDB-GENE-030131-9569")</f>
        <v>https://zfin.org/ZDB-GENE-030131-9569</v>
      </c>
      <c r="K2276" t="s">
        <v>4189</v>
      </c>
    </row>
    <row r="2277" spans="1:11" x14ac:dyDescent="0.2">
      <c r="A2277">
        <v>3.1605267718164199E-22</v>
      </c>
      <c r="B2277">
        <v>1.08954507814701</v>
      </c>
      <c r="C2277">
        <v>0.54400000000000004</v>
      </c>
      <c r="D2277">
        <v>0.14399999999999999</v>
      </c>
      <c r="E2277">
        <v>4.8934436008033698E-18</v>
      </c>
      <c r="F2277">
        <v>4</v>
      </c>
      <c r="G2277" t="s">
        <v>4579</v>
      </c>
      <c r="H2277" t="s">
        <v>4580</v>
      </c>
      <c r="I2277" t="s">
        <v>4579</v>
      </c>
      <c r="J2277" s="1" t="str">
        <f>HYPERLINK("https://zfin.org/ZDB-GENE-040426-977")</f>
        <v>https://zfin.org/ZDB-GENE-040426-977</v>
      </c>
      <c r="K2277" t="s">
        <v>4581</v>
      </c>
    </row>
    <row r="2278" spans="1:11" x14ac:dyDescent="0.2">
      <c r="A2278">
        <v>3.88193941884187E-22</v>
      </c>
      <c r="B2278">
        <v>0.61418863051935602</v>
      </c>
      <c r="C2278">
        <v>0.98699999999999999</v>
      </c>
      <c r="D2278">
        <v>0.94099999999999995</v>
      </c>
      <c r="E2278">
        <v>6.0104068021928704E-18</v>
      </c>
      <c r="F2278">
        <v>4</v>
      </c>
      <c r="G2278" t="s">
        <v>1784</v>
      </c>
      <c r="H2278" t="s">
        <v>1785</v>
      </c>
      <c r="I2278" t="s">
        <v>1784</v>
      </c>
      <c r="J2278" s="1" t="str">
        <f>HYPERLINK("https://zfin.org/ZDB-GENE-010724-15")</f>
        <v>https://zfin.org/ZDB-GENE-010724-15</v>
      </c>
      <c r="K2278" t="s">
        <v>1786</v>
      </c>
    </row>
    <row r="2279" spans="1:11" x14ac:dyDescent="0.2">
      <c r="A2279">
        <v>5.5139059421376402E-22</v>
      </c>
      <c r="B2279">
        <v>0.516146926123219</v>
      </c>
      <c r="C2279">
        <v>0.98699999999999999</v>
      </c>
      <c r="D2279">
        <v>0.98099999999999998</v>
      </c>
      <c r="E2279">
        <v>8.5371805702117103E-18</v>
      </c>
      <c r="F2279">
        <v>4</v>
      </c>
      <c r="G2279" t="s">
        <v>1264</v>
      </c>
      <c r="H2279" t="s">
        <v>1265</v>
      </c>
      <c r="I2279" t="s">
        <v>1264</v>
      </c>
      <c r="J2279" s="1" t="str">
        <f>HYPERLINK("https://zfin.org/ZDB-GENE-040426-2117")</f>
        <v>https://zfin.org/ZDB-GENE-040426-2117</v>
      </c>
      <c r="K2279" t="s">
        <v>1266</v>
      </c>
    </row>
    <row r="2280" spans="1:11" x14ac:dyDescent="0.2">
      <c r="A2280">
        <v>4.8339794282952999E-21</v>
      </c>
      <c r="B2280">
        <v>0.55203426217234997</v>
      </c>
      <c r="C2280">
        <v>0.98699999999999999</v>
      </c>
      <c r="D2280">
        <v>0.98799999999999999</v>
      </c>
      <c r="E2280">
        <v>7.4844503488296099E-17</v>
      </c>
      <c r="F2280">
        <v>4</v>
      </c>
      <c r="G2280" t="s">
        <v>1393</v>
      </c>
      <c r="H2280" t="s">
        <v>1394</v>
      </c>
      <c r="I2280" t="s">
        <v>1393</v>
      </c>
      <c r="J2280" s="1" t="str">
        <f>HYPERLINK("https://zfin.org/ZDB-GENE-040426-1716")</f>
        <v>https://zfin.org/ZDB-GENE-040426-1716</v>
      </c>
      <c r="K2280" t="s">
        <v>1395</v>
      </c>
    </row>
    <row r="2281" spans="1:11" x14ac:dyDescent="0.2">
      <c r="A2281">
        <v>5.3458151869753103E-21</v>
      </c>
      <c r="B2281">
        <v>0.75749104972928205</v>
      </c>
      <c r="C2281">
        <v>0.26600000000000001</v>
      </c>
      <c r="D2281">
        <v>3.5000000000000003E-2</v>
      </c>
      <c r="E2281">
        <v>8.2769256539938699E-17</v>
      </c>
      <c r="F2281">
        <v>4</v>
      </c>
      <c r="G2281" t="s">
        <v>4396</v>
      </c>
      <c r="H2281" t="s">
        <v>4397</v>
      </c>
      <c r="I2281" t="s">
        <v>4396</v>
      </c>
      <c r="J2281" s="1" t="str">
        <f>HYPERLINK("https://zfin.org/ZDB-GENE-131121-114")</f>
        <v>https://zfin.org/ZDB-GENE-131121-114</v>
      </c>
      <c r="K2281" t="s">
        <v>4398</v>
      </c>
    </row>
    <row r="2282" spans="1:11" x14ac:dyDescent="0.2">
      <c r="A2282">
        <v>5.59602254540074E-21</v>
      </c>
      <c r="B2282">
        <v>1.3647901593476699</v>
      </c>
      <c r="C2282">
        <v>0.89900000000000002</v>
      </c>
      <c r="D2282">
        <v>0.621</v>
      </c>
      <c r="E2282">
        <v>8.6643217070439699E-17</v>
      </c>
      <c r="F2282">
        <v>4</v>
      </c>
      <c r="G2282" t="s">
        <v>4486</v>
      </c>
      <c r="H2282" t="s">
        <v>4487</v>
      </c>
      <c r="I2282" t="s">
        <v>4486</v>
      </c>
      <c r="J2282" s="1" t="str">
        <f>HYPERLINK("https://zfin.org/ZDB-GENE-030131-8625")</f>
        <v>https://zfin.org/ZDB-GENE-030131-8625</v>
      </c>
      <c r="K2282" t="s">
        <v>4488</v>
      </c>
    </row>
    <row r="2283" spans="1:11" x14ac:dyDescent="0.2">
      <c r="A2283">
        <v>1.20341358359923E-20</v>
      </c>
      <c r="B2283">
        <v>0.61917804284229006</v>
      </c>
      <c r="C2283">
        <v>0.35399999999999998</v>
      </c>
      <c r="D2283">
        <v>6.3E-2</v>
      </c>
      <c r="E2283">
        <v>1.86324525148668E-16</v>
      </c>
      <c r="F2283">
        <v>4</v>
      </c>
      <c r="G2283" t="s">
        <v>4429</v>
      </c>
      <c r="H2283" t="s">
        <v>4430</v>
      </c>
      <c r="I2283" t="s">
        <v>4429</v>
      </c>
      <c r="J2283" s="1" t="str">
        <f>HYPERLINK("https://zfin.org/ZDB-GENE-010131-3")</f>
        <v>https://zfin.org/ZDB-GENE-010131-3</v>
      </c>
      <c r="K2283" t="s">
        <v>4431</v>
      </c>
    </row>
    <row r="2284" spans="1:11" x14ac:dyDescent="0.2">
      <c r="A2284">
        <v>1.3875552367386201E-20</v>
      </c>
      <c r="B2284">
        <v>0.750227508943343</v>
      </c>
      <c r="C2284">
        <v>0.13900000000000001</v>
      </c>
      <c r="D2284">
        <v>8.0000000000000002E-3</v>
      </c>
      <c r="E2284">
        <v>2.1483517730424001E-16</v>
      </c>
      <c r="F2284">
        <v>4</v>
      </c>
      <c r="G2284" t="s">
        <v>5354</v>
      </c>
      <c r="H2284" t="s">
        <v>5355</v>
      </c>
      <c r="I2284" t="s">
        <v>5354</v>
      </c>
      <c r="J2284" s="1" t="str">
        <f>HYPERLINK("https://zfin.org/ZDB-GENE-081031-104")</f>
        <v>https://zfin.org/ZDB-GENE-081031-104</v>
      </c>
      <c r="K2284" t="s">
        <v>5356</v>
      </c>
    </row>
    <row r="2285" spans="1:11" x14ac:dyDescent="0.2">
      <c r="A2285">
        <v>2.6925292804428699E-20</v>
      </c>
      <c r="B2285">
        <v>0.47838316325292901</v>
      </c>
      <c r="C2285">
        <v>1</v>
      </c>
      <c r="D2285">
        <v>0.98899999999999999</v>
      </c>
      <c r="E2285">
        <v>4.1688430849096899E-16</v>
      </c>
      <c r="F2285">
        <v>4</v>
      </c>
      <c r="G2285" t="s">
        <v>1168</v>
      </c>
      <c r="H2285" t="s">
        <v>1169</v>
      </c>
      <c r="I2285" t="s">
        <v>1168</v>
      </c>
      <c r="J2285" s="1" t="str">
        <f>HYPERLINK("https://zfin.org/ZDB-GENE-040622-2")</f>
        <v>https://zfin.org/ZDB-GENE-040622-2</v>
      </c>
      <c r="K2285" t="s">
        <v>1170</v>
      </c>
    </row>
    <row r="2286" spans="1:11" x14ac:dyDescent="0.2">
      <c r="A2286">
        <v>2.8210035951311398E-20</v>
      </c>
      <c r="B2286">
        <v>-1.26846667991072</v>
      </c>
      <c r="C2286">
        <v>0.63300000000000001</v>
      </c>
      <c r="D2286">
        <v>0.88400000000000001</v>
      </c>
      <c r="E2286">
        <v>4.36775986634155E-16</v>
      </c>
      <c r="F2286">
        <v>4</v>
      </c>
      <c r="G2286" t="s">
        <v>1450</v>
      </c>
      <c r="H2286" t="s">
        <v>1451</v>
      </c>
      <c r="I2286" t="s">
        <v>1450</v>
      </c>
      <c r="J2286" s="1" t="str">
        <f>HYPERLINK("https://zfin.org/ZDB-GENE-060503-431")</f>
        <v>https://zfin.org/ZDB-GENE-060503-431</v>
      </c>
      <c r="K2286" t="s">
        <v>1452</v>
      </c>
    </row>
    <row r="2287" spans="1:11" x14ac:dyDescent="0.2">
      <c r="A2287">
        <v>3.3127411648444399E-20</v>
      </c>
      <c r="B2287">
        <v>0.45572534647303498</v>
      </c>
      <c r="C2287">
        <v>0.24099999999999999</v>
      </c>
      <c r="D2287">
        <v>0.03</v>
      </c>
      <c r="E2287">
        <v>5.1291171455286405E-16</v>
      </c>
      <c r="F2287">
        <v>4</v>
      </c>
      <c r="G2287" t="s">
        <v>4669</v>
      </c>
      <c r="H2287" t="s">
        <v>4670</v>
      </c>
      <c r="I2287" t="s">
        <v>4669</v>
      </c>
      <c r="J2287" s="1" t="str">
        <f>HYPERLINK("https://zfin.org/ZDB-GENE-990603-11")</f>
        <v>https://zfin.org/ZDB-GENE-990603-11</v>
      </c>
      <c r="K2287" t="s">
        <v>4671</v>
      </c>
    </row>
    <row r="2288" spans="1:11" x14ac:dyDescent="0.2">
      <c r="A2288">
        <v>4.1236841708090703E-20</v>
      </c>
      <c r="B2288">
        <v>0.64656588597391196</v>
      </c>
      <c r="C2288">
        <v>0.29099999999999998</v>
      </c>
      <c r="D2288">
        <v>4.4999999999999998E-2</v>
      </c>
      <c r="E2288">
        <v>6.38470020166368E-16</v>
      </c>
      <c r="F2288">
        <v>4</v>
      </c>
      <c r="G2288" t="s">
        <v>5357</v>
      </c>
      <c r="H2288" t="s">
        <v>5358</v>
      </c>
      <c r="I2288" t="s">
        <v>5357</v>
      </c>
      <c r="J2288" s="1" t="str">
        <f>HYPERLINK("https://zfin.org/ZDB-GENE-010130-2")</f>
        <v>https://zfin.org/ZDB-GENE-010130-2</v>
      </c>
      <c r="K2288" t="s">
        <v>5359</v>
      </c>
    </row>
    <row r="2289" spans="1:11" x14ac:dyDescent="0.2">
      <c r="A2289">
        <v>4.8044898054828101E-20</v>
      </c>
      <c r="B2289">
        <v>1.3204511276247199</v>
      </c>
      <c r="C2289">
        <v>0.316</v>
      </c>
      <c r="D2289">
        <v>5.5E-2</v>
      </c>
      <c r="E2289">
        <v>7.4387915658290396E-16</v>
      </c>
      <c r="F2289">
        <v>4</v>
      </c>
      <c r="G2289" t="s">
        <v>4367</v>
      </c>
      <c r="H2289" t="s">
        <v>4368</v>
      </c>
      <c r="I2289" t="s">
        <v>4310</v>
      </c>
      <c r="J2289" s="1" t="str">
        <f>HYPERLINK("https://zfin.org/ZDB-GENE-990415-25")</f>
        <v>https://zfin.org/ZDB-GENE-990415-25</v>
      </c>
      <c r="K2289" t="s">
        <v>4312</v>
      </c>
    </row>
    <row r="2290" spans="1:11" x14ac:dyDescent="0.2">
      <c r="A2290">
        <v>1.0976193207084801E-19</v>
      </c>
      <c r="B2290">
        <v>0.47618432928799198</v>
      </c>
      <c r="C2290">
        <v>0.22800000000000001</v>
      </c>
      <c r="D2290">
        <v>2.7E-2</v>
      </c>
      <c r="E2290">
        <v>1.69944399425295E-15</v>
      </c>
      <c r="F2290">
        <v>4</v>
      </c>
      <c r="G2290" t="s">
        <v>5360</v>
      </c>
      <c r="H2290" t="s">
        <v>5361</v>
      </c>
      <c r="I2290" t="s">
        <v>5360</v>
      </c>
      <c r="J2290" s="1" t="str">
        <f>HYPERLINK("https://zfin.org/ZDB-GENE-131127-170")</f>
        <v>https://zfin.org/ZDB-GENE-131127-170</v>
      </c>
      <c r="K2290" t="s">
        <v>5362</v>
      </c>
    </row>
    <row r="2291" spans="1:11" x14ac:dyDescent="0.2">
      <c r="A2291">
        <v>1.35227028227798E-19</v>
      </c>
      <c r="B2291">
        <v>0.61390683992838702</v>
      </c>
      <c r="C2291">
        <v>1</v>
      </c>
      <c r="D2291">
        <v>0.92400000000000004</v>
      </c>
      <c r="E2291">
        <v>2.093720078051E-15</v>
      </c>
      <c r="F2291">
        <v>4</v>
      </c>
      <c r="G2291" t="s">
        <v>1730</v>
      </c>
      <c r="H2291" t="s">
        <v>1731</v>
      </c>
      <c r="I2291" t="s">
        <v>1730</v>
      </c>
      <c r="J2291" s="1" t="str">
        <f>HYPERLINK("https://zfin.org/ZDB-GENE-040426-1481")</f>
        <v>https://zfin.org/ZDB-GENE-040426-1481</v>
      </c>
      <c r="K2291" t="s">
        <v>1732</v>
      </c>
    </row>
    <row r="2292" spans="1:11" x14ac:dyDescent="0.2">
      <c r="A2292">
        <v>1.7775071596542401E-19</v>
      </c>
      <c r="B2292">
        <v>0.447864203009608</v>
      </c>
      <c r="C2292">
        <v>0.19</v>
      </c>
      <c r="D2292">
        <v>1.9E-2</v>
      </c>
      <c r="E2292">
        <v>2.75211433529266E-15</v>
      </c>
      <c r="F2292">
        <v>4</v>
      </c>
      <c r="G2292" t="s">
        <v>5363</v>
      </c>
      <c r="H2292" t="s">
        <v>5364</v>
      </c>
      <c r="I2292" t="s">
        <v>5363</v>
      </c>
      <c r="J2292" s="1" t="str">
        <f>HYPERLINK("https://zfin.org/ZDB-GENE-060503-706")</f>
        <v>https://zfin.org/ZDB-GENE-060503-706</v>
      </c>
      <c r="K2292" t="s">
        <v>5365</v>
      </c>
    </row>
    <row r="2293" spans="1:11" x14ac:dyDescent="0.2">
      <c r="A2293">
        <v>4.2947072740913198E-19</v>
      </c>
      <c r="B2293">
        <v>0.69755913850528894</v>
      </c>
      <c r="C2293">
        <v>0.27800000000000002</v>
      </c>
      <c r="D2293">
        <v>4.2999999999999997E-2</v>
      </c>
      <c r="E2293">
        <v>6.6494952724755896E-15</v>
      </c>
      <c r="F2293">
        <v>4</v>
      </c>
      <c r="G2293" t="s">
        <v>4381</v>
      </c>
      <c r="H2293" t="s">
        <v>4382</v>
      </c>
      <c r="I2293" t="s">
        <v>4381</v>
      </c>
      <c r="J2293" s="1" t="str">
        <f>HYPERLINK("https://zfin.org/ZDB-GENE-040426-59")</f>
        <v>https://zfin.org/ZDB-GENE-040426-59</v>
      </c>
      <c r="K2293" t="s">
        <v>4383</v>
      </c>
    </row>
    <row r="2294" spans="1:11" x14ac:dyDescent="0.2">
      <c r="A2294">
        <v>5.9200931625109599E-19</v>
      </c>
      <c r="B2294">
        <v>-1.20017185836615</v>
      </c>
      <c r="C2294">
        <v>0.62</v>
      </c>
      <c r="D2294">
        <v>0.89400000000000002</v>
      </c>
      <c r="E2294">
        <v>9.1660802435157093E-15</v>
      </c>
      <c r="F2294">
        <v>4</v>
      </c>
      <c r="G2294" t="s">
        <v>1231</v>
      </c>
      <c r="H2294" t="s">
        <v>1232</v>
      </c>
      <c r="I2294" t="s">
        <v>1231</v>
      </c>
      <c r="J2294" s="1" t="str">
        <f>HYPERLINK("https://zfin.org/ZDB-GENE-110411-160")</f>
        <v>https://zfin.org/ZDB-GENE-110411-160</v>
      </c>
      <c r="K2294" t="s">
        <v>1233</v>
      </c>
    </row>
    <row r="2295" spans="1:11" x14ac:dyDescent="0.2">
      <c r="A2295">
        <v>8.7487821920077301E-19</v>
      </c>
      <c r="B2295">
        <v>0.47607533129846002</v>
      </c>
      <c r="C2295">
        <v>0.26600000000000001</v>
      </c>
      <c r="D2295">
        <v>3.9E-2</v>
      </c>
      <c r="E2295">
        <v>1.35457394678856E-14</v>
      </c>
      <c r="F2295">
        <v>4</v>
      </c>
      <c r="G2295" t="s">
        <v>5304</v>
      </c>
      <c r="H2295" t="s">
        <v>5305</v>
      </c>
      <c r="I2295" t="s">
        <v>5304</v>
      </c>
      <c r="J2295" s="1" t="str">
        <f>HYPERLINK("https://zfin.org/ZDB-GENE-070912-485")</f>
        <v>https://zfin.org/ZDB-GENE-070912-485</v>
      </c>
      <c r="K2295" t="s">
        <v>5306</v>
      </c>
    </row>
    <row r="2296" spans="1:11" x14ac:dyDescent="0.2">
      <c r="A2296">
        <v>8.8298225500755791E-19</v>
      </c>
      <c r="B2296">
        <v>0.30504950950514298</v>
      </c>
      <c r="C2296">
        <v>0.152</v>
      </c>
      <c r="D2296">
        <v>1.2E-2</v>
      </c>
      <c r="E2296">
        <v>1.3671214254281999E-14</v>
      </c>
      <c r="F2296">
        <v>4</v>
      </c>
      <c r="G2296" t="s">
        <v>5366</v>
      </c>
      <c r="H2296" t="s">
        <v>5367</v>
      </c>
      <c r="I2296" t="s">
        <v>5366</v>
      </c>
      <c r="J2296" s="1" t="str">
        <f>HYPERLINK("https://zfin.org/ZDB-GENE-030131-778")</f>
        <v>https://zfin.org/ZDB-GENE-030131-778</v>
      </c>
      <c r="K2296" t="s">
        <v>5368</v>
      </c>
    </row>
    <row r="2297" spans="1:11" x14ac:dyDescent="0.2">
      <c r="A2297">
        <v>9.6055636667705102E-19</v>
      </c>
      <c r="B2297">
        <v>0.46260101785209401</v>
      </c>
      <c r="C2297">
        <v>1</v>
      </c>
      <c r="D2297">
        <v>0.99199999999999999</v>
      </c>
      <c r="E2297">
        <v>1.4872294225260801E-14</v>
      </c>
      <c r="F2297">
        <v>4</v>
      </c>
      <c r="G2297" t="s">
        <v>1131</v>
      </c>
      <c r="H2297" t="s">
        <v>1132</v>
      </c>
      <c r="I2297" t="s">
        <v>1131</v>
      </c>
      <c r="J2297" s="1" t="str">
        <f>HYPERLINK("https://zfin.org/ZDB-GENE-040625-147")</f>
        <v>https://zfin.org/ZDB-GENE-040625-147</v>
      </c>
      <c r="K2297" t="s">
        <v>1133</v>
      </c>
    </row>
    <row r="2298" spans="1:11" x14ac:dyDescent="0.2">
      <c r="A2298">
        <v>1.04963104948395E-18</v>
      </c>
      <c r="B2298">
        <v>0.82481991924610198</v>
      </c>
      <c r="C2298">
        <v>0.39200000000000002</v>
      </c>
      <c r="D2298">
        <v>8.7999999999999995E-2</v>
      </c>
      <c r="E2298">
        <v>1.6251437539159999E-14</v>
      </c>
      <c r="F2298">
        <v>4</v>
      </c>
      <c r="G2298" t="s">
        <v>3431</v>
      </c>
      <c r="H2298" t="s">
        <v>3432</v>
      </c>
      <c r="I2298" t="s">
        <v>3431</v>
      </c>
      <c r="J2298" s="1" t="str">
        <f>HYPERLINK("https://zfin.org/ZDB-GENE-030925-31")</f>
        <v>https://zfin.org/ZDB-GENE-030925-31</v>
      </c>
      <c r="K2298" t="s">
        <v>3433</v>
      </c>
    </row>
    <row r="2299" spans="1:11" x14ac:dyDescent="0.2">
      <c r="A2299">
        <v>1.39583756050536E-18</v>
      </c>
      <c r="B2299">
        <v>0.26856769600793401</v>
      </c>
      <c r="C2299">
        <v>0.10100000000000001</v>
      </c>
      <c r="D2299">
        <v>4.0000000000000001E-3</v>
      </c>
      <c r="E2299">
        <v>2.16117529493045E-14</v>
      </c>
      <c r="F2299">
        <v>4</v>
      </c>
      <c r="G2299" t="s">
        <v>5369</v>
      </c>
      <c r="H2299" t="s">
        <v>5370</v>
      </c>
      <c r="I2299" t="s">
        <v>5369</v>
      </c>
      <c r="J2299" s="1" t="str">
        <f>HYPERLINK("https://zfin.org/ZDB-GENE-090313-43")</f>
        <v>https://zfin.org/ZDB-GENE-090313-43</v>
      </c>
      <c r="K2299" t="s">
        <v>5371</v>
      </c>
    </row>
    <row r="2300" spans="1:11" x14ac:dyDescent="0.2">
      <c r="A2300">
        <v>1.46249177581774E-18</v>
      </c>
      <c r="B2300">
        <v>0.80591469789319603</v>
      </c>
      <c r="C2300">
        <v>0.73399999999999999</v>
      </c>
      <c r="D2300">
        <v>0.313</v>
      </c>
      <c r="E2300">
        <v>2.26437601649861E-14</v>
      </c>
      <c r="F2300">
        <v>4</v>
      </c>
      <c r="G2300" t="s">
        <v>5372</v>
      </c>
      <c r="H2300" t="s">
        <v>5373</v>
      </c>
      <c r="I2300" t="s">
        <v>5372</v>
      </c>
      <c r="J2300" s="1" t="str">
        <f>HYPERLINK("https://zfin.org/ZDB-GENE-030131-693")</f>
        <v>https://zfin.org/ZDB-GENE-030131-693</v>
      </c>
      <c r="K2300" t="s">
        <v>5374</v>
      </c>
    </row>
    <row r="2301" spans="1:11" x14ac:dyDescent="0.2">
      <c r="A2301">
        <v>1.9497559264528701E-18</v>
      </c>
      <c r="B2301">
        <v>0.48183894820734302</v>
      </c>
      <c r="C2301">
        <v>1</v>
      </c>
      <c r="D2301">
        <v>0.99</v>
      </c>
      <c r="E2301">
        <v>3.0188071009269799E-14</v>
      </c>
      <c r="F2301">
        <v>4</v>
      </c>
      <c r="G2301" t="s">
        <v>1183</v>
      </c>
      <c r="H2301" t="s">
        <v>1184</v>
      </c>
      <c r="I2301" t="s">
        <v>1183</v>
      </c>
      <c r="J2301" s="1" t="str">
        <f>HYPERLINK("https://zfin.org/ZDB-GENE-030131-2022")</f>
        <v>https://zfin.org/ZDB-GENE-030131-2022</v>
      </c>
      <c r="K2301" t="s">
        <v>1185</v>
      </c>
    </row>
    <row r="2302" spans="1:11" x14ac:dyDescent="0.2">
      <c r="A2302">
        <v>2.36766300655366E-18</v>
      </c>
      <c r="B2302">
        <v>0.91481105237073601</v>
      </c>
      <c r="C2302">
        <v>0.88600000000000001</v>
      </c>
      <c r="D2302">
        <v>0.49</v>
      </c>
      <c r="E2302">
        <v>3.6658526330470297E-14</v>
      </c>
      <c r="F2302">
        <v>4</v>
      </c>
      <c r="G2302" t="s">
        <v>3859</v>
      </c>
      <c r="H2302" t="s">
        <v>3860</v>
      </c>
      <c r="I2302" t="s">
        <v>3859</v>
      </c>
      <c r="J2302" s="1" t="str">
        <f>HYPERLINK("https://zfin.org/ZDB-GENE-040426-1112")</f>
        <v>https://zfin.org/ZDB-GENE-040426-1112</v>
      </c>
      <c r="K2302" t="s">
        <v>3861</v>
      </c>
    </row>
    <row r="2303" spans="1:11" x14ac:dyDescent="0.2">
      <c r="A2303">
        <v>2.4398376296469298E-18</v>
      </c>
      <c r="B2303">
        <v>0.59865855151120195</v>
      </c>
      <c r="C2303">
        <v>0.34200000000000003</v>
      </c>
      <c r="D2303">
        <v>6.5000000000000002E-2</v>
      </c>
      <c r="E2303">
        <v>3.7776006019823498E-14</v>
      </c>
      <c r="F2303">
        <v>4</v>
      </c>
      <c r="G2303" t="s">
        <v>5375</v>
      </c>
      <c r="H2303" t="s">
        <v>5376</v>
      </c>
      <c r="I2303" t="s">
        <v>5375</v>
      </c>
      <c r="J2303" s="1" t="str">
        <f>HYPERLINK("https://zfin.org/ZDB-GENE-081104-166")</f>
        <v>https://zfin.org/ZDB-GENE-081104-166</v>
      </c>
      <c r="K2303" t="s">
        <v>5377</v>
      </c>
    </row>
    <row r="2304" spans="1:11" x14ac:dyDescent="0.2">
      <c r="A2304">
        <v>3.6879744995664001E-18</v>
      </c>
      <c r="B2304">
        <v>0.87141319673265405</v>
      </c>
      <c r="C2304">
        <v>0.40500000000000003</v>
      </c>
      <c r="D2304">
        <v>0.10100000000000001</v>
      </c>
      <c r="E2304">
        <v>5.7100909176786504E-14</v>
      </c>
      <c r="F2304">
        <v>4</v>
      </c>
      <c r="G2304" t="s">
        <v>4792</v>
      </c>
      <c r="H2304" t="s">
        <v>4793</v>
      </c>
      <c r="I2304" t="s">
        <v>4794</v>
      </c>
      <c r="J2304" s="1" t="str">
        <f>HYPERLINK("https://zfin.org/ZDB-GENE-031114-2")</f>
        <v>https://zfin.org/ZDB-GENE-031114-2</v>
      </c>
      <c r="K2304" t="s">
        <v>4795</v>
      </c>
    </row>
    <row r="2305" spans="1:11" x14ac:dyDescent="0.2">
      <c r="A2305">
        <v>4.2745014294016397E-18</v>
      </c>
      <c r="B2305">
        <v>0.488079134761704</v>
      </c>
      <c r="C2305">
        <v>1</v>
      </c>
      <c r="D2305">
        <v>0.99099999999999999</v>
      </c>
      <c r="E2305">
        <v>6.6182105631425594E-14</v>
      </c>
      <c r="F2305">
        <v>4</v>
      </c>
      <c r="G2305" t="s">
        <v>1155</v>
      </c>
      <c r="H2305" t="s">
        <v>1156</v>
      </c>
      <c r="I2305" t="s">
        <v>1157</v>
      </c>
      <c r="J2305" s="1" t="str">
        <f>HYPERLINK("https://zfin.org/ZDB-GENE-040625-39")</f>
        <v>https://zfin.org/ZDB-GENE-040625-39</v>
      </c>
      <c r="K2305" t="s">
        <v>1158</v>
      </c>
    </row>
    <row r="2306" spans="1:11" x14ac:dyDescent="0.2">
      <c r="A2306">
        <v>4.2893698694498701E-18</v>
      </c>
      <c r="B2306">
        <v>-0.86817689232080697</v>
      </c>
      <c r="C2306">
        <v>0.97499999999999998</v>
      </c>
      <c r="D2306">
        <v>0.99299999999999999</v>
      </c>
      <c r="E2306">
        <v>6.6412313688692406E-14</v>
      </c>
      <c r="F2306">
        <v>4</v>
      </c>
      <c r="G2306" t="s">
        <v>854</v>
      </c>
      <c r="H2306" t="s">
        <v>855</v>
      </c>
      <c r="I2306" t="s">
        <v>854</v>
      </c>
      <c r="J2306" s="1" t="str">
        <f>HYPERLINK("https://zfin.org/ZDB-GENE-061201-9")</f>
        <v>https://zfin.org/ZDB-GENE-061201-9</v>
      </c>
      <c r="K2306" t="s">
        <v>856</v>
      </c>
    </row>
    <row r="2307" spans="1:11" x14ac:dyDescent="0.2">
      <c r="A2307">
        <v>4.9724442649296003E-18</v>
      </c>
      <c r="B2307">
        <v>0.65665527825047598</v>
      </c>
      <c r="C2307">
        <v>0.94899999999999995</v>
      </c>
      <c r="D2307">
        <v>0.81100000000000005</v>
      </c>
      <c r="E2307">
        <v>7.6988354553904896E-14</v>
      </c>
      <c r="F2307">
        <v>4</v>
      </c>
      <c r="G2307" t="s">
        <v>2642</v>
      </c>
      <c r="H2307" t="s">
        <v>2643</v>
      </c>
      <c r="I2307" t="s">
        <v>2642</v>
      </c>
      <c r="J2307" s="1" t="str">
        <f>HYPERLINK("https://zfin.org/ZDB-GENE-080220-50")</f>
        <v>https://zfin.org/ZDB-GENE-080220-50</v>
      </c>
      <c r="K2307" t="s">
        <v>2644</v>
      </c>
    </row>
    <row r="2308" spans="1:11" x14ac:dyDescent="0.2">
      <c r="A2308">
        <v>6.74389200416194E-18</v>
      </c>
      <c r="B2308">
        <v>0.49219000014764402</v>
      </c>
      <c r="C2308">
        <v>0.253</v>
      </c>
      <c r="D2308">
        <v>3.6999999999999998E-2</v>
      </c>
      <c r="E2308">
        <v>1.0441567990043899E-13</v>
      </c>
      <c r="F2308">
        <v>4</v>
      </c>
      <c r="G2308" t="s">
        <v>4468</v>
      </c>
      <c r="H2308" t="s">
        <v>4469</v>
      </c>
      <c r="I2308" t="s">
        <v>4468</v>
      </c>
      <c r="J2308" s="1" t="str">
        <f>HYPERLINK("https://zfin.org/ZDB-GENE-061013-547")</f>
        <v>https://zfin.org/ZDB-GENE-061013-547</v>
      </c>
      <c r="K2308" t="s">
        <v>4470</v>
      </c>
    </row>
    <row r="2309" spans="1:11" x14ac:dyDescent="0.2">
      <c r="A2309">
        <v>7.3407814010007999E-18</v>
      </c>
      <c r="B2309">
        <v>0.67328306765778001</v>
      </c>
      <c r="C2309">
        <v>0.26600000000000001</v>
      </c>
      <c r="D2309">
        <v>4.2999999999999997E-2</v>
      </c>
      <c r="E2309">
        <v>1.13657318431695E-13</v>
      </c>
      <c r="F2309">
        <v>4</v>
      </c>
      <c r="G2309" t="s">
        <v>4304</v>
      </c>
      <c r="H2309" t="s">
        <v>4305</v>
      </c>
      <c r="I2309" t="s">
        <v>4304</v>
      </c>
      <c r="J2309" s="1" t="str">
        <f>HYPERLINK("https://zfin.org/ZDB-GENE-031118-197")</f>
        <v>https://zfin.org/ZDB-GENE-031118-197</v>
      </c>
      <c r="K2309" t="s">
        <v>4306</v>
      </c>
    </row>
    <row r="2310" spans="1:11" x14ac:dyDescent="0.2">
      <c r="A2310">
        <v>9.8000545532346995E-18</v>
      </c>
      <c r="B2310">
        <v>0.86425905341984699</v>
      </c>
      <c r="C2310">
        <v>0.316</v>
      </c>
      <c r="D2310">
        <v>0.06</v>
      </c>
      <c r="E2310">
        <v>1.51734244647733E-13</v>
      </c>
      <c r="F2310">
        <v>4</v>
      </c>
      <c r="G2310" t="s">
        <v>4319</v>
      </c>
      <c r="H2310" t="s">
        <v>4320</v>
      </c>
      <c r="I2310" t="s">
        <v>4319</v>
      </c>
      <c r="J2310" s="1" t="str">
        <f>HYPERLINK("https://zfin.org/ZDB-GENE-030515-3")</f>
        <v>https://zfin.org/ZDB-GENE-030515-3</v>
      </c>
      <c r="K2310" t="s">
        <v>4321</v>
      </c>
    </row>
    <row r="2311" spans="1:11" x14ac:dyDescent="0.2">
      <c r="A2311">
        <v>9.8006092180890793E-18</v>
      </c>
      <c r="B2311">
        <v>0.70208174995377703</v>
      </c>
      <c r="C2311">
        <v>0.93700000000000006</v>
      </c>
      <c r="D2311">
        <v>0.78400000000000003</v>
      </c>
      <c r="E2311">
        <v>1.5174283252367299E-13</v>
      </c>
      <c r="F2311">
        <v>4</v>
      </c>
      <c r="G2311" t="s">
        <v>3269</v>
      </c>
      <c r="H2311" t="s">
        <v>3270</v>
      </c>
      <c r="I2311" t="s">
        <v>3269</v>
      </c>
      <c r="J2311" s="1" t="str">
        <f>HYPERLINK("https://zfin.org/ZDB-GENE-000210-25")</f>
        <v>https://zfin.org/ZDB-GENE-000210-25</v>
      </c>
      <c r="K2311" t="s">
        <v>3271</v>
      </c>
    </row>
    <row r="2312" spans="1:11" x14ac:dyDescent="0.2">
      <c r="A2312">
        <v>1.2525667929386499E-17</v>
      </c>
      <c r="B2312">
        <v>0.47938877899566801</v>
      </c>
      <c r="C2312">
        <v>1</v>
      </c>
      <c r="D2312">
        <v>0.99099999999999999</v>
      </c>
      <c r="E2312">
        <v>1.9393491655069101E-13</v>
      </c>
      <c r="F2312">
        <v>4</v>
      </c>
      <c r="G2312" t="s">
        <v>1315</v>
      </c>
      <c r="H2312" t="s">
        <v>1316</v>
      </c>
      <c r="I2312" t="s">
        <v>1315</v>
      </c>
      <c r="J2312" s="1" t="str">
        <f>HYPERLINK("https://zfin.org/ZDB-GENE-040426-2284")</f>
        <v>https://zfin.org/ZDB-GENE-040426-2284</v>
      </c>
      <c r="K2312" t="s">
        <v>1317</v>
      </c>
    </row>
    <row r="2313" spans="1:11" x14ac:dyDescent="0.2">
      <c r="A2313">
        <v>1.41956512023225E-17</v>
      </c>
      <c r="B2313">
        <v>0.522103741258513</v>
      </c>
      <c r="C2313">
        <v>0.316</v>
      </c>
      <c r="D2313">
        <v>5.8999999999999997E-2</v>
      </c>
      <c r="E2313">
        <v>2.1979126756555899E-13</v>
      </c>
      <c r="F2313">
        <v>4</v>
      </c>
      <c r="G2313" t="s">
        <v>5378</v>
      </c>
      <c r="H2313" t="s">
        <v>5379</v>
      </c>
      <c r="I2313" t="s">
        <v>5378</v>
      </c>
      <c r="J2313" s="1" t="str">
        <f>HYPERLINK("https://zfin.org/ZDB-GENE-030131-223")</f>
        <v>https://zfin.org/ZDB-GENE-030131-223</v>
      </c>
      <c r="K2313" t="s">
        <v>5380</v>
      </c>
    </row>
    <row r="2314" spans="1:11" x14ac:dyDescent="0.2">
      <c r="A2314">
        <v>1.4210570486214101E-17</v>
      </c>
      <c r="B2314">
        <v>1.0606937330251101</v>
      </c>
      <c r="C2314">
        <v>0.89900000000000002</v>
      </c>
      <c r="D2314">
        <v>0.64600000000000002</v>
      </c>
      <c r="E2314">
        <v>2.20022262838053E-13</v>
      </c>
      <c r="F2314">
        <v>4</v>
      </c>
      <c r="G2314" t="s">
        <v>4495</v>
      </c>
      <c r="H2314" t="s">
        <v>4496</v>
      </c>
      <c r="I2314" t="s">
        <v>4495</v>
      </c>
      <c r="J2314" s="1" t="str">
        <f>HYPERLINK("https://zfin.org/ZDB-GENE-040912-122")</f>
        <v>https://zfin.org/ZDB-GENE-040912-122</v>
      </c>
      <c r="K2314" t="s">
        <v>4497</v>
      </c>
    </row>
    <row r="2315" spans="1:11" x14ac:dyDescent="0.2">
      <c r="A2315">
        <v>1.4697231794979998E-17</v>
      </c>
      <c r="B2315">
        <v>0.82902015849112498</v>
      </c>
      <c r="C2315">
        <v>0.253</v>
      </c>
      <c r="D2315">
        <v>3.9E-2</v>
      </c>
      <c r="E2315">
        <v>2.2755723988167499E-13</v>
      </c>
      <c r="F2315">
        <v>4</v>
      </c>
      <c r="G2315" t="s">
        <v>4298</v>
      </c>
      <c r="H2315" t="s">
        <v>4299</v>
      </c>
      <c r="I2315" t="s">
        <v>4298</v>
      </c>
      <c r="J2315" s="1" t="str">
        <f>HYPERLINK("https://zfin.org/ZDB-GENE-030131-2453")</f>
        <v>https://zfin.org/ZDB-GENE-030131-2453</v>
      </c>
      <c r="K2315" t="s">
        <v>4300</v>
      </c>
    </row>
    <row r="2316" spans="1:11" x14ac:dyDescent="0.2">
      <c r="A2316">
        <v>1.63320118658316E-17</v>
      </c>
      <c r="B2316">
        <v>0.99439230906232001</v>
      </c>
      <c r="C2316">
        <v>0.53200000000000003</v>
      </c>
      <c r="D2316">
        <v>0.16400000000000001</v>
      </c>
      <c r="E2316">
        <v>2.5286853971866998E-13</v>
      </c>
      <c r="F2316">
        <v>4</v>
      </c>
      <c r="G2316" t="s">
        <v>4316</v>
      </c>
      <c r="H2316" t="s">
        <v>4317</v>
      </c>
      <c r="I2316" t="s">
        <v>4316</v>
      </c>
      <c r="J2316" s="1" t="str">
        <f>HYPERLINK("https://zfin.org/ZDB-GENE-000210-8")</f>
        <v>https://zfin.org/ZDB-GENE-000210-8</v>
      </c>
      <c r="K2316" t="s">
        <v>4318</v>
      </c>
    </row>
    <row r="2317" spans="1:11" x14ac:dyDescent="0.2">
      <c r="A2317">
        <v>1.7601824802615899E-17</v>
      </c>
      <c r="B2317">
        <v>0.72296201541182903</v>
      </c>
      <c r="C2317">
        <v>0.69599999999999995</v>
      </c>
      <c r="D2317">
        <v>0.27300000000000002</v>
      </c>
      <c r="E2317">
        <v>2.7252905341890202E-13</v>
      </c>
      <c r="F2317">
        <v>4</v>
      </c>
      <c r="G2317" t="s">
        <v>4871</v>
      </c>
      <c r="H2317" t="s">
        <v>4872</v>
      </c>
      <c r="I2317" t="s">
        <v>4871</v>
      </c>
      <c r="J2317" s="1" t="str">
        <f>HYPERLINK("https://zfin.org/ZDB-GENE-030411-2")</f>
        <v>https://zfin.org/ZDB-GENE-030411-2</v>
      </c>
      <c r="K2317" t="s">
        <v>4873</v>
      </c>
    </row>
    <row r="2318" spans="1:11" x14ac:dyDescent="0.2">
      <c r="A2318">
        <v>1.9506773273556899E-17</v>
      </c>
      <c r="B2318">
        <v>0.387318599143474</v>
      </c>
      <c r="C2318">
        <v>0.24099999999999999</v>
      </c>
      <c r="D2318">
        <v>3.5000000000000003E-2</v>
      </c>
      <c r="E2318">
        <v>3.0202337059448199E-13</v>
      </c>
      <c r="F2318">
        <v>4</v>
      </c>
      <c r="G2318" t="s">
        <v>4627</v>
      </c>
      <c r="H2318" t="s">
        <v>4628</v>
      </c>
      <c r="I2318" t="s">
        <v>4627</v>
      </c>
      <c r="J2318" s="1" t="str">
        <f>HYPERLINK("https://zfin.org/ZDB-GENE-040426-2224")</f>
        <v>https://zfin.org/ZDB-GENE-040426-2224</v>
      </c>
      <c r="K2318" t="s">
        <v>4629</v>
      </c>
    </row>
    <row r="2319" spans="1:11" x14ac:dyDescent="0.2">
      <c r="A2319">
        <v>2.0129166337568299E-17</v>
      </c>
      <c r="B2319">
        <v>0.49527372973977102</v>
      </c>
      <c r="C2319">
        <v>0.24099999999999999</v>
      </c>
      <c r="D2319">
        <v>3.5000000000000003E-2</v>
      </c>
      <c r="E2319">
        <v>3.1165988240456999E-13</v>
      </c>
      <c r="F2319">
        <v>4</v>
      </c>
      <c r="G2319" t="s">
        <v>4522</v>
      </c>
      <c r="H2319" t="s">
        <v>4523</v>
      </c>
      <c r="I2319" t="s">
        <v>4522</v>
      </c>
      <c r="J2319" s="1" t="str">
        <f>HYPERLINK("https://zfin.org/ZDB-GENE-020419-21")</f>
        <v>https://zfin.org/ZDB-GENE-020419-21</v>
      </c>
      <c r="K2319" t="s">
        <v>4524</v>
      </c>
    </row>
    <row r="2320" spans="1:11" x14ac:dyDescent="0.2">
      <c r="A2320">
        <v>2.12269541106932E-17</v>
      </c>
      <c r="B2320">
        <v>0.49675628300076102</v>
      </c>
      <c r="C2320">
        <v>1</v>
      </c>
      <c r="D2320">
        <v>0.96299999999999997</v>
      </c>
      <c r="E2320">
        <v>3.2865693049586299E-13</v>
      </c>
      <c r="F2320">
        <v>4</v>
      </c>
      <c r="G2320" t="s">
        <v>1507</v>
      </c>
      <c r="H2320" t="s">
        <v>1508</v>
      </c>
      <c r="I2320" t="s">
        <v>1507</v>
      </c>
      <c r="J2320" s="1" t="str">
        <f>HYPERLINK("https://zfin.org/ZDB-GENE-030131-1291")</f>
        <v>https://zfin.org/ZDB-GENE-030131-1291</v>
      </c>
      <c r="K2320" t="s">
        <v>1509</v>
      </c>
    </row>
    <row r="2321" spans="1:11" x14ac:dyDescent="0.2">
      <c r="A2321">
        <v>2.30427423197339E-17</v>
      </c>
      <c r="B2321">
        <v>0.53248378671974095</v>
      </c>
      <c r="C2321">
        <v>0.98699999999999999</v>
      </c>
      <c r="D2321">
        <v>0.92500000000000004</v>
      </c>
      <c r="E2321">
        <v>3.5677077933643998E-13</v>
      </c>
      <c r="F2321">
        <v>4</v>
      </c>
      <c r="G2321" t="s">
        <v>2174</v>
      </c>
      <c r="H2321" t="s">
        <v>2175</v>
      </c>
      <c r="I2321" t="s">
        <v>2174</v>
      </c>
      <c r="J2321" s="1" t="str">
        <f>HYPERLINK("https://zfin.org/ZDB-GENE-020419-20")</f>
        <v>https://zfin.org/ZDB-GENE-020419-20</v>
      </c>
      <c r="K2321" t="s">
        <v>2176</v>
      </c>
    </row>
    <row r="2322" spans="1:11" x14ac:dyDescent="0.2">
      <c r="A2322">
        <v>2.4513741223731201E-17</v>
      </c>
      <c r="B2322">
        <v>0.682725014619604</v>
      </c>
      <c r="C2322">
        <v>0.24099999999999999</v>
      </c>
      <c r="D2322">
        <v>3.5000000000000003E-2</v>
      </c>
      <c r="E2322">
        <v>3.7954625536703099E-13</v>
      </c>
      <c r="F2322">
        <v>4</v>
      </c>
      <c r="G2322" t="s">
        <v>4307</v>
      </c>
      <c r="H2322" t="s">
        <v>4308</v>
      </c>
      <c r="I2322" t="s">
        <v>4307</v>
      </c>
      <c r="J2322" s="1" t="str">
        <f>HYPERLINK("https://zfin.org/ZDB-GENE-050220-15")</f>
        <v>https://zfin.org/ZDB-GENE-050220-15</v>
      </c>
      <c r="K2322" t="s">
        <v>4309</v>
      </c>
    </row>
    <row r="2323" spans="1:11" x14ac:dyDescent="0.2">
      <c r="A2323">
        <v>2.8707895308235898E-17</v>
      </c>
      <c r="B2323">
        <v>0.37290578005085001</v>
      </c>
      <c r="C2323">
        <v>0.16500000000000001</v>
      </c>
      <c r="D2323">
        <v>1.6E-2</v>
      </c>
      <c r="E2323">
        <v>4.4448434305741599E-13</v>
      </c>
      <c r="F2323">
        <v>4</v>
      </c>
      <c r="G2323" t="s">
        <v>4711</v>
      </c>
      <c r="H2323" t="s">
        <v>4712</v>
      </c>
      <c r="I2323" t="s">
        <v>4711</v>
      </c>
      <c r="J2323" s="1" t="str">
        <f>HYPERLINK("https://zfin.org/ZDB-GENE-041014-362")</f>
        <v>https://zfin.org/ZDB-GENE-041014-362</v>
      </c>
      <c r="K2323" t="s">
        <v>4713</v>
      </c>
    </row>
    <row r="2324" spans="1:11" x14ac:dyDescent="0.2">
      <c r="A2324">
        <v>4.8543864761703698E-17</v>
      </c>
      <c r="B2324">
        <v>0.26892326422859097</v>
      </c>
      <c r="C2324">
        <v>0.13900000000000001</v>
      </c>
      <c r="D2324">
        <v>1.0999999999999999E-2</v>
      </c>
      <c r="E2324">
        <v>7.5160465810545902E-13</v>
      </c>
      <c r="F2324">
        <v>4</v>
      </c>
      <c r="G2324" t="s">
        <v>5381</v>
      </c>
      <c r="H2324" t="s">
        <v>5382</v>
      </c>
      <c r="I2324" t="s">
        <v>5381</v>
      </c>
      <c r="J2324" s="1" t="str">
        <f>HYPERLINK("https://zfin.org/")</f>
        <v>https://zfin.org/</v>
      </c>
    </row>
    <row r="2325" spans="1:11" x14ac:dyDescent="0.2">
      <c r="A2325">
        <v>4.8978495382876601E-17</v>
      </c>
      <c r="B2325">
        <v>-1.0622905270777501</v>
      </c>
      <c r="C2325">
        <v>0.70899999999999996</v>
      </c>
      <c r="D2325">
        <v>0.86</v>
      </c>
      <c r="E2325">
        <v>7.5833404401307895E-13</v>
      </c>
      <c r="F2325">
        <v>4</v>
      </c>
      <c r="G2325" t="s">
        <v>1222</v>
      </c>
      <c r="H2325" t="s">
        <v>1223</v>
      </c>
      <c r="I2325" t="s">
        <v>1222</v>
      </c>
      <c r="J2325" s="1" t="str">
        <f>HYPERLINK("https://zfin.org/ZDB-GENE-060316-3")</f>
        <v>https://zfin.org/ZDB-GENE-060316-3</v>
      </c>
      <c r="K2325" t="s">
        <v>1224</v>
      </c>
    </row>
    <row r="2326" spans="1:11" x14ac:dyDescent="0.2">
      <c r="A2326">
        <v>5.5800718790771397E-17</v>
      </c>
      <c r="B2326">
        <v>0.74864498559247405</v>
      </c>
      <c r="C2326">
        <v>0.35399999999999998</v>
      </c>
      <c r="D2326">
        <v>7.8E-2</v>
      </c>
      <c r="E2326">
        <v>8.6396252903751404E-13</v>
      </c>
      <c r="F2326">
        <v>4</v>
      </c>
      <c r="G2326" t="s">
        <v>5175</v>
      </c>
      <c r="H2326" t="s">
        <v>5176</v>
      </c>
      <c r="I2326" t="s">
        <v>5175</v>
      </c>
      <c r="J2326" s="1" t="str">
        <f>HYPERLINK("https://zfin.org/ZDB-GENE-020419-24")</f>
        <v>https://zfin.org/ZDB-GENE-020419-24</v>
      </c>
      <c r="K2326" t="s">
        <v>5177</v>
      </c>
    </row>
    <row r="2327" spans="1:11" x14ac:dyDescent="0.2">
      <c r="A2327">
        <v>6.1692179442435602E-17</v>
      </c>
      <c r="B2327">
        <v>-1.1367351388357501</v>
      </c>
      <c r="C2327">
        <v>0.79700000000000004</v>
      </c>
      <c r="D2327">
        <v>0.89900000000000002</v>
      </c>
      <c r="E2327">
        <v>9.5518001430723008E-13</v>
      </c>
      <c r="F2327">
        <v>4</v>
      </c>
      <c r="G2327" t="s">
        <v>1237</v>
      </c>
      <c r="H2327" t="s">
        <v>1238</v>
      </c>
      <c r="I2327" t="s">
        <v>1237</v>
      </c>
      <c r="J2327" s="1" t="str">
        <f>HYPERLINK("https://zfin.org/ZDB-GENE-030131-3532")</f>
        <v>https://zfin.org/ZDB-GENE-030131-3532</v>
      </c>
      <c r="K2327" t="s">
        <v>1239</v>
      </c>
    </row>
    <row r="2328" spans="1:11" x14ac:dyDescent="0.2">
      <c r="A2328">
        <v>8.0618104194163597E-17</v>
      </c>
      <c r="B2328">
        <v>0.52759981610700002</v>
      </c>
      <c r="C2328">
        <v>1</v>
      </c>
      <c r="D2328">
        <v>0.93799999999999994</v>
      </c>
      <c r="E2328">
        <v>1.24821010723824E-12</v>
      </c>
      <c r="F2328">
        <v>4</v>
      </c>
      <c r="G2328" t="s">
        <v>2126</v>
      </c>
      <c r="H2328" t="s">
        <v>2127</v>
      </c>
      <c r="I2328" t="s">
        <v>2126</v>
      </c>
      <c r="J2328" s="1" t="str">
        <f>HYPERLINK("https://zfin.org/ZDB-GENE-030131-8657")</f>
        <v>https://zfin.org/ZDB-GENE-030131-8657</v>
      </c>
      <c r="K2328" t="s">
        <v>2128</v>
      </c>
    </row>
    <row r="2329" spans="1:11" x14ac:dyDescent="0.2">
      <c r="A2329">
        <v>1.3364378081014901E-16</v>
      </c>
      <c r="B2329">
        <v>0.69218373552623602</v>
      </c>
      <c r="C2329">
        <v>0.63300000000000001</v>
      </c>
      <c r="D2329">
        <v>0.22600000000000001</v>
      </c>
      <c r="E2329">
        <v>2.06920665828354E-12</v>
      </c>
      <c r="F2329">
        <v>4</v>
      </c>
      <c r="G2329" t="s">
        <v>5232</v>
      </c>
      <c r="H2329" t="s">
        <v>5233</v>
      </c>
      <c r="I2329" t="s">
        <v>5232</v>
      </c>
      <c r="J2329" s="1" t="str">
        <f>HYPERLINK("https://zfin.org/ZDB-GENE-030131-1921")</f>
        <v>https://zfin.org/ZDB-GENE-030131-1921</v>
      </c>
      <c r="K2329" t="s">
        <v>5234</v>
      </c>
    </row>
    <row r="2330" spans="1:11" x14ac:dyDescent="0.2">
      <c r="A2330">
        <v>1.46385428978507E-16</v>
      </c>
      <c r="B2330">
        <v>0.65255769263135599</v>
      </c>
      <c r="C2330">
        <v>0.34200000000000003</v>
      </c>
      <c r="D2330">
        <v>7.2999999999999995E-2</v>
      </c>
      <c r="E2330">
        <v>2.26648559687422E-12</v>
      </c>
      <c r="F2330">
        <v>4</v>
      </c>
      <c r="G2330" t="s">
        <v>4355</v>
      </c>
      <c r="H2330" t="s">
        <v>4356</v>
      </c>
      <c r="I2330" t="s">
        <v>4355</v>
      </c>
      <c r="J2330" s="1" t="str">
        <f>HYPERLINK("https://zfin.org/ZDB-GENE-990415-247")</f>
        <v>https://zfin.org/ZDB-GENE-990415-247</v>
      </c>
      <c r="K2330" t="s">
        <v>4357</v>
      </c>
    </row>
    <row r="2331" spans="1:11" x14ac:dyDescent="0.2">
      <c r="A2331">
        <v>1.5481892002393901E-16</v>
      </c>
      <c r="B2331">
        <v>-0.815218501532329</v>
      </c>
      <c r="C2331">
        <v>0.84799999999999998</v>
      </c>
      <c r="D2331">
        <v>0.94299999999999995</v>
      </c>
      <c r="E2331">
        <v>2.3970613387306499E-12</v>
      </c>
      <c r="F2331">
        <v>4</v>
      </c>
      <c r="G2331" t="s">
        <v>1162</v>
      </c>
      <c r="H2331" t="s">
        <v>1163</v>
      </c>
      <c r="I2331" t="s">
        <v>1162</v>
      </c>
      <c r="J2331" s="1" t="str">
        <f>HYPERLINK("https://zfin.org/ZDB-GENE-011210-2")</f>
        <v>https://zfin.org/ZDB-GENE-011210-2</v>
      </c>
      <c r="K2331" t="s">
        <v>1164</v>
      </c>
    </row>
    <row r="2332" spans="1:11" x14ac:dyDescent="0.2">
      <c r="A2332">
        <v>1.6373286377047799E-16</v>
      </c>
      <c r="B2332">
        <v>1.46042874744325</v>
      </c>
      <c r="C2332">
        <v>0.35399999999999998</v>
      </c>
      <c r="D2332">
        <v>8.3000000000000004E-2</v>
      </c>
      <c r="E2332">
        <v>2.5350759297583098E-12</v>
      </c>
      <c r="F2332">
        <v>4</v>
      </c>
      <c r="G2332" t="s">
        <v>4310</v>
      </c>
      <c r="H2332" t="s">
        <v>4311</v>
      </c>
      <c r="I2332" t="s">
        <v>4310</v>
      </c>
      <c r="J2332" s="1" t="str">
        <f>HYPERLINK("https://zfin.org/ZDB-GENE-990415-25")</f>
        <v>https://zfin.org/ZDB-GENE-990415-25</v>
      </c>
      <c r="K2332" t="s">
        <v>4312</v>
      </c>
    </row>
    <row r="2333" spans="1:11" x14ac:dyDescent="0.2">
      <c r="A2333">
        <v>2.2503307807824901E-16</v>
      </c>
      <c r="B2333">
        <v>0.50146281807207904</v>
      </c>
      <c r="C2333">
        <v>0.98699999999999999</v>
      </c>
      <c r="D2333">
        <v>0.92</v>
      </c>
      <c r="E2333">
        <v>3.48418714788553E-12</v>
      </c>
      <c r="F2333">
        <v>4</v>
      </c>
      <c r="G2333" t="s">
        <v>1697</v>
      </c>
      <c r="H2333" t="s">
        <v>1698</v>
      </c>
      <c r="I2333" t="s">
        <v>1697</v>
      </c>
      <c r="J2333" s="1" t="str">
        <f>HYPERLINK("https://zfin.org/ZDB-GENE-030131-8631")</f>
        <v>https://zfin.org/ZDB-GENE-030131-8631</v>
      </c>
      <c r="K2333" t="s">
        <v>1699</v>
      </c>
    </row>
    <row r="2334" spans="1:11" x14ac:dyDescent="0.2">
      <c r="A2334">
        <v>2.74261688926735E-16</v>
      </c>
      <c r="B2334">
        <v>0.55125292479704702</v>
      </c>
      <c r="C2334">
        <v>0.41799999999999998</v>
      </c>
      <c r="D2334">
        <v>0.105</v>
      </c>
      <c r="E2334">
        <v>4.2463937296526298E-12</v>
      </c>
      <c r="F2334">
        <v>4</v>
      </c>
      <c r="G2334" t="s">
        <v>5383</v>
      </c>
      <c r="H2334" t="s">
        <v>5384</v>
      </c>
      <c r="I2334" t="s">
        <v>5383</v>
      </c>
      <c r="J2334" s="1" t="str">
        <f>HYPERLINK("https://zfin.org/ZDB-GENE-040426-2761")</f>
        <v>https://zfin.org/ZDB-GENE-040426-2761</v>
      </c>
      <c r="K2334" t="s">
        <v>5385</v>
      </c>
    </row>
    <row r="2335" spans="1:11" x14ac:dyDescent="0.2">
      <c r="A2335">
        <v>2.9939172434183402E-16</v>
      </c>
      <c r="B2335">
        <v>0.47415497146807001</v>
      </c>
      <c r="C2335">
        <v>0.97499999999999998</v>
      </c>
      <c r="D2335">
        <v>0.96199999999999997</v>
      </c>
      <c r="E2335">
        <v>4.6354820679846101E-12</v>
      </c>
      <c r="F2335">
        <v>4</v>
      </c>
      <c r="G2335" t="s">
        <v>1333</v>
      </c>
      <c r="H2335" t="s">
        <v>1334</v>
      </c>
      <c r="I2335" t="s">
        <v>1333</v>
      </c>
      <c r="J2335" s="1" t="str">
        <f>HYPERLINK("https://zfin.org/ZDB-GENE-030131-8626")</f>
        <v>https://zfin.org/ZDB-GENE-030131-8626</v>
      </c>
      <c r="K2335" t="s">
        <v>1335</v>
      </c>
    </row>
    <row r="2336" spans="1:11" x14ac:dyDescent="0.2">
      <c r="A2336">
        <v>3.1361576258681999E-16</v>
      </c>
      <c r="B2336">
        <v>0.77832158691452802</v>
      </c>
      <c r="C2336">
        <v>0.64600000000000002</v>
      </c>
      <c r="D2336">
        <v>0.26100000000000001</v>
      </c>
      <c r="E2336">
        <v>4.8557128521317302E-12</v>
      </c>
      <c r="F2336">
        <v>4</v>
      </c>
      <c r="G2336" t="s">
        <v>5386</v>
      </c>
      <c r="H2336" t="s">
        <v>5387</v>
      </c>
      <c r="I2336" t="s">
        <v>5386</v>
      </c>
      <c r="J2336" s="1" t="str">
        <f>HYPERLINK("https://zfin.org/ZDB-GENE-030131-9670")</f>
        <v>https://zfin.org/ZDB-GENE-030131-9670</v>
      </c>
      <c r="K2336" t="s">
        <v>5388</v>
      </c>
    </row>
    <row r="2337" spans="1:11" x14ac:dyDescent="0.2">
      <c r="A2337">
        <v>3.4313791822931598E-16</v>
      </c>
      <c r="B2337">
        <v>0.74247646872761797</v>
      </c>
      <c r="C2337">
        <v>1</v>
      </c>
      <c r="D2337">
        <v>0.84599999999999997</v>
      </c>
      <c r="E2337">
        <v>5.3128043879444903E-12</v>
      </c>
      <c r="F2337">
        <v>4</v>
      </c>
      <c r="G2337" t="s">
        <v>4004</v>
      </c>
      <c r="H2337" t="s">
        <v>4005</v>
      </c>
      <c r="I2337" t="s">
        <v>4004</v>
      </c>
      <c r="J2337" s="1" t="str">
        <f>HYPERLINK("https://zfin.org/ZDB-GENE-050417-329")</f>
        <v>https://zfin.org/ZDB-GENE-050417-329</v>
      </c>
      <c r="K2337" t="s">
        <v>4006</v>
      </c>
    </row>
    <row r="2338" spans="1:11" x14ac:dyDescent="0.2">
      <c r="A2338">
        <v>4.3228405699491702E-16</v>
      </c>
      <c r="B2338">
        <v>-1.43074493729542</v>
      </c>
      <c r="C2338">
        <v>0.50600000000000001</v>
      </c>
      <c r="D2338">
        <v>0.77600000000000002</v>
      </c>
      <c r="E2338">
        <v>6.6930540544523E-12</v>
      </c>
      <c r="F2338">
        <v>4</v>
      </c>
      <c r="G2338" t="s">
        <v>2018</v>
      </c>
      <c r="H2338" t="s">
        <v>2019</v>
      </c>
      <c r="I2338" t="s">
        <v>2018</v>
      </c>
      <c r="J2338" s="1" t="str">
        <f>HYPERLINK("https://zfin.org/ZDB-GENE-101011-2")</f>
        <v>https://zfin.org/ZDB-GENE-101011-2</v>
      </c>
      <c r="K2338" t="s">
        <v>2020</v>
      </c>
    </row>
    <row r="2339" spans="1:11" x14ac:dyDescent="0.2">
      <c r="A2339">
        <v>4.5202235609876301E-16</v>
      </c>
      <c r="B2339">
        <v>0.31622878709246899</v>
      </c>
      <c r="C2339">
        <v>0.22800000000000001</v>
      </c>
      <c r="D2339">
        <v>3.3000000000000002E-2</v>
      </c>
      <c r="E2339">
        <v>6.9986621394771398E-12</v>
      </c>
      <c r="F2339">
        <v>4</v>
      </c>
      <c r="G2339" t="s">
        <v>4783</v>
      </c>
      <c r="H2339" t="s">
        <v>4784</v>
      </c>
      <c r="I2339" t="s">
        <v>4783</v>
      </c>
      <c r="J2339" s="1" t="str">
        <f>HYPERLINK("https://zfin.org/ZDB-GENE-040611-4")</f>
        <v>https://zfin.org/ZDB-GENE-040611-4</v>
      </c>
      <c r="K2339" t="s">
        <v>4785</v>
      </c>
    </row>
    <row r="2340" spans="1:11" x14ac:dyDescent="0.2">
      <c r="A2340">
        <v>5.3198625228686199E-16</v>
      </c>
      <c r="B2340">
        <v>0.63237568773583397</v>
      </c>
      <c r="C2340">
        <v>0.34200000000000003</v>
      </c>
      <c r="D2340">
        <v>7.4999999999999997E-2</v>
      </c>
      <c r="E2340">
        <v>8.2367431441574901E-12</v>
      </c>
      <c r="F2340">
        <v>4</v>
      </c>
      <c r="G2340" t="s">
        <v>4358</v>
      </c>
      <c r="H2340" t="s">
        <v>4359</v>
      </c>
      <c r="I2340" t="s">
        <v>4358</v>
      </c>
      <c r="J2340" s="1" t="str">
        <f>HYPERLINK("https://zfin.org/ZDB-GENE-040426-987")</f>
        <v>https://zfin.org/ZDB-GENE-040426-987</v>
      </c>
      <c r="K2340" t="s">
        <v>4360</v>
      </c>
    </row>
    <row r="2341" spans="1:11" x14ac:dyDescent="0.2">
      <c r="A2341">
        <v>6.4335452336122998E-16</v>
      </c>
      <c r="B2341">
        <v>0.48404408341906902</v>
      </c>
      <c r="C2341">
        <v>0.22800000000000001</v>
      </c>
      <c r="D2341">
        <v>3.5000000000000003E-2</v>
      </c>
      <c r="E2341">
        <v>9.96105808520193E-12</v>
      </c>
      <c r="F2341">
        <v>4</v>
      </c>
      <c r="G2341" t="s">
        <v>4465</v>
      </c>
      <c r="H2341" t="s">
        <v>4466</v>
      </c>
      <c r="I2341" t="s">
        <v>4465</v>
      </c>
      <c r="J2341" s="1" t="str">
        <f>HYPERLINK("https://zfin.org/ZDB-GENE-050522-456")</f>
        <v>https://zfin.org/ZDB-GENE-050522-456</v>
      </c>
      <c r="K2341" t="s">
        <v>4467</v>
      </c>
    </row>
    <row r="2342" spans="1:11" x14ac:dyDescent="0.2">
      <c r="A2342">
        <v>6.9768260395696195E-16</v>
      </c>
      <c r="B2342">
        <v>0.58377541843105896</v>
      </c>
      <c r="C2342">
        <v>0.26600000000000001</v>
      </c>
      <c r="D2342">
        <v>4.7E-2</v>
      </c>
      <c r="E2342">
        <v>1.08022197570656E-11</v>
      </c>
      <c r="F2342">
        <v>4</v>
      </c>
      <c r="G2342" t="s">
        <v>4322</v>
      </c>
      <c r="H2342" t="s">
        <v>4323</v>
      </c>
      <c r="I2342" t="s">
        <v>4322</v>
      </c>
      <c r="J2342" s="1" t="str">
        <f>HYPERLINK("https://zfin.org/ZDB-GENE-020419-40")</f>
        <v>https://zfin.org/ZDB-GENE-020419-40</v>
      </c>
      <c r="K2342" t="s">
        <v>4324</v>
      </c>
    </row>
    <row r="2343" spans="1:11" x14ac:dyDescent="0.2">
      <c r="A2343">
        <v>7.6553862758395902E-16</v>
      </c>
      <c r="B2343">
        <v>0.50497181184807305</v>
      </c>
      <c r="C2343">
        <v>0.97499999999999998</v>
      </c>
      <c r="D2343">
        <v>0.92900000000000005</v>
      </c>
      <c r="E2343">
        <v>1.18528345708824E-11</v>
      </c>
      <c r="F2343">
        <v>4</v>
      </c>
      <c r="G2343" t="s">
        <v>1763</v>
      </c>
      <c r="H2343" t="s">
        <v>1764</v>
      </c>
      <c r="I2343" t="s">
        <v>1763</v>
      </c>
      <c r="J2343" s="1" t="str">
        <f>HYPERLINK("https://zfin.org/ZDB-GENE-040109-5")</f>
        <v>https://zfin.org/ZDB-GENE-040109-5</v>
      </c>
      <c r="K2343" t="s">
        <v>1765</v>
      </c>
    </row>
    <row r="2344" spans="1:11" x14ac:dyDescent="0.2">
      <c r="A2344">
        <v>8.14909810449092E-16</v>
      </c>
      <c r="B2344">
        <v>0.86259527558826099</v>
      </c>
      <c r="C2344">
        <v>0.27800000000000002</v>
      </c>
      <c r="D2344">
        <v>5.2999999999999999E-2</v>
      </c>
      <c r="E2344">
        <v>1.26172485951833E-11</v>
      </c>
      <c r="F2344">
        <v>4</v>
      </c>
      <c r="G2344" t="s">
        <v>4325</v>
      </c>
      <c r="H2344" t="s">
        <v>4326</v>
      </c>
      <c r="I2344" t="s">
        <v>4325</v>
      </c>
      <c r="J2344" s="1" t="str">
        <f>HYPERLINK("https://zfin.org/ZDB-GENE-010320-1")</f>
        <v>https://zfin.org/ZDB-GENE-010320-1</v>
      </c>
      <c r="K2344" t="s">
        <v>4327</v>
      </c>
    </row>
    <row r="2345" spans="1:11" x14ac:dyDescent="0.2">
      <c r="A2345">
        <v>1.0615475001118401E-15</v>
      </c>
      <c r="B2345">
        <v>0.77512686473597403</v>
      </c>
      <c r="C2345">
        <v>0.51900000000000002</v>
      </c>
      <c r="D2345">
        <v>0.17499999999999999</v>
      </c>
      <c r="E2345">
        <v>1.6435939944231599E-11</v>
      </c>
      <c r="F2345">
        <v>4</v>
      </c>
      <c r="G2345" t="s">
        <v>4582</v>
      </c>
      <c r="H2345" t="s">
        <v>4583</v>
      </c>
      <c r="I2345" t="s">
        <v>4582</v>
      </c>
      <c r="J2345" s="1" t="str">
        <f>HYPERLINK("https://zfin.org/ZDB-GENE-030131-445")</f>
        <v>https://zfin.org/ZDB-GENE-030131-445</v>
      </c>
      <c r="K2345" t="s">
        <v>4584</v>
      </c>
    </row>
    <row r="2346" spans="1:11" x14ac:dyDescent="0.2">
      <c r="A2346">
        <v>1.23867352136028E-15</v>
      </c>
      <c r="B2346">
        <v>1.0426251426397299</v>
      </c>
      <c r="C2346">
        <v>0.38</v>
      </c>
      <c r="D2346">
        <v>9.6000000000000002E-2</v>
      </c>
      <c r="E2346">
        <v>1.91783821312212E-11</v>
      </c>
      <c r="F2346">
        <v>4</v>
      </c>
      <c r="G2346" t="s">
        <v>4301</v>
      </c>
      <c r="H2346" t="s">
        <v>4302</v>
      </c>
      <c r="I2346" t="s">
        <v>4301</v>
      </c>
      <c r="J2346" s="1" t="str">
        <f>HYPERLINK("https://zfin.org/ZDB-GENE-131127-543")</f>
        <v>https://zfin.org/ZDB-GENE-131127-543</v>
      </c>
      <c r="K2346" t="s">
        <v>4303</v>
      </c>
    </row>
    <row r="2347" spans="1:11" x14ac:dyDescent="0.2">
      <c r="A2347">
        <v>1.3980711372674701E-15</v>
      </c>
      <c r="B2347">
        <v>0.45129705248632201</v>
      </c>
      <c r="C2347">
        <v>0.30399999999999999</v>
      </c>
      <c r="D2347">
        <v>0.06</v>
      </c>
      <c r="E2347">
        <v>2.1646335418312301E-11</v>
      </c>
      <c r="F2347">
        <v>4</v>
      </c>
      <c r="G2347" t="s">
        <v>5389</v>
      </c>
      <c r="H2347" t="s">
        <v>5390</v>
      </c>
      <c r="I2347" t="s">
        <v>5389</v>
      </c>
      <c r="J2347" s="1" t="str">
        <f>HYPERLINK("https://zfin.org/ZDB-GENE-050522-362")</f>
        <v>https://zfin.org/ZDB-GENE-050522-362</v>
      </c>
      <c r="K2347" t="s">
        <v>5391</v>
      </c>
    </row>
    <row r="2348" spans="1:11" x14ac:dyDescent="0.2">
      <c r="A2348">
        <v>1.4898959036397099E-15</v>
      </c>
      <c r="B2348">
        <v>0.76734415627268104</v>
      </c>
      <c r="C2348">
        <v>0.56999999999999995</v>
      </c>
      <c r="D2348">
        <v>0.193</v>
      </c>
      <c r="E2348">
        <v>2.3068058276053601E-11</v>
      </c>
      <c r="F2348">
        <v>4</v>
      </c>
      <c r="G2348" t="s">
        <v>5307</v>
      </c>
      <c r="H2348" t="s">
        <v>5308</v>
      </c>
      <c r="I2348" t="s">
        <v>5307</v>
      </c>
      <c r="J2348" s="1" t="str">
        <f>HYPERLINK("https://zfin.org/ZDB-GENE-040426-1950")</f>
        <v>https://zfin.org/ZDB-GENE-040426-1950</v>
      </c>
      <c r="K2348" t="s">
        <v>5309</v>
      </c>
    </row>
    <row r="2349" spans="1:11" x14ac:dyDescent="0.2">
      <c r="A2349">
        <v>1.79696071989662E-15</v>
      </c>
      <c r="B2349">
        <v>0.51182755668719304</v>
      </c>
      <c r="C2349">
        <v>0.30399999999999999</v>
      </c>
      <c r="D2349">
        <v>6.0999999999999999E-2</v>
      </c>
      <c r="E2349">
        <v>2.7822342826159399E-11</v>
      </c>
      <c r="F2349">
        <v>4</v>
      </c>
      <c r="G2349" t="s">
        <v>5392</v>
      </c>
      <c r="H2349" t="s">
        <v>5393</v>
      </c>
      <c r="I2349" t="s">
        <v>5392</v>
      </c>
      <c r="J2349" s="1" t="str">
        <f>HYPERLINK("https://zfin.org/ZDB-GENE-050420-289")</f>
        <v>https://zfin.org/ZDB-GENE-050420-289</v>
      </c>
      <c r="K2349" t="s">
        <v>5394</v>
      </c>
    </row>
    <row r="2350" spans="1:11" x14ac:dyDescent="0.2">
      <c r="A2350">
        <v>2.1452344336140301E-15</v>
      </c>
      <c r="B2350">
        <v>0.76560006950583404</v>
      </c>
      <c r="C2350">
        <v>0.89900000000000002</v>
      </c>
      <c r="D2350">
        <v>0.64800000000000002</v>
      </c>
      <c r="E2350">
        <v>3.3214664735646E-11</v>
      </c>
      <c r="F2350">
        <v>4</v>
      </c>
      <c r="G2350" t="s">
        <v>5068</v>
      </c>
      <c r="H2350" t="s">
        <v>5069</v>
      </c>
      <c r="I2350" t="s">
        <v>5068</v>
      </c>
      <c r="J2350" s="1" t="str">
        <f>HYPERLINK("https://zfin.org/ZDB-GENE-040426-2516")</f>
        <v>https://zfin.org/ZDB-GENE-040426-2516</v>
      </c>
      <c r="K2350" t="s">
        <v>5070</v>
      </c>
    </row>
    <row r="2351" spans="1:11" x14ac:dyDescent="0.2">
      <c r="A2351">
        <v>3.2433731083948301E-15</v>
      </c>
      <c r="B2351">
        <v>-1.2406299177470099</v>
      </c>
      <c r="C2351">
        <v>0.35399999999999998</v>
      </c>
      <c r="D2351">
        <v>0.68300000000000005</v>
      </c>
      <c r="E2351">
        <v>5.02171458372772E-11</v>
      </c>
      <c r="F2351">
        <v>4</v>
      </c>
      <c r="G2351" t="s">
        <v>2386</v>
      </c>
      <c r="H2351" t="s">
        <v>2387</v>
      </c>
      <c r="I2351" t="s">
        <v>2386</v>
      </c>
      <c r="J2351" s="1" t="str">
        <f>HYPERLINK("https://zfin.org/ZDB-GENE-030131-2524")</f>
        <v>https://zfin.org/ZDB-GENE-030131-2524</v>
      </c>
      <c r="K2351" t="s">
        <v>2388</v>
      </c>
    </row>
    <row r="2352" spans="1:11" x14ac:dyDescent="0.2">
      <c r="A2352">
        <v>5.0363794970079903E-15</v>
      </c>
      <c r="B2352">
        <v>0.41528285425536599</v>
      </c>
      <c r="C2352">
        <v>0.98699999999999999</v>
      </c>
      <c r="D2352">
        <v>0.97799999999999998</v>
      </c>
      <c r="E2352">
        <v>7.7978263752174703E-11</v>
      </c>
      <c r="F2352">
        <v>4</v>
      </c>
      <c r="G2352" t="s">
        <v>1435</v>
      </c>
      <c r="H2352" t="s">
        <v>1436</v>
      </c>
      <c r="I2352" t="s">
        <v>1435</v>
      </c>
      <c r="J2352" s="1" t="str">
        <f>HYPERLINK("https://zfin.org/ZDB-GENE-040801-165")</f>
        <v>https://zfin.org/ZDB-GENE-040801-165</v>
      </c>
      <c r="K2352" t="s">
        <v>1437</v>
      </c>
    </row>
    <row r="2353" spans="1:11" x14ac:dyDescent="0.2">
      <c r="A2353">
        <v>5.2814621256553896E-15</v>
      </c>
      <c r="B2353">
        <v>0.63796630519066699</v>
      </c>
      <c r="C2353">
        <v>0.48099999999999998</v>
      </c>
      <c r="D2353">
        <v>0.14599999999999999</v>
      </c>
      <c r="E2353">
        <v>8.1772878091522403E-11</v>
      </c>
      <c r="F2353">
        <v>4</v>
      </c>
      <c r="G2353" t="s">
        <v>4642</v>
      </c>
      <c r="H2353" t="s">
        <v>4643</v>
      </c>
      <c r="I2353" t="s">
        <v>4642</v>
      </c>
      <c r="J2353" s="1" t="str">
        <f>HYPERLINK("https://zfin.org/ZDB-GENE-020416-1")</f>
        <v>https://zfin.org/ZDB-GENE-020416-1</v>
      </c>
      <c r="K2353" t="s">
        <v>4644</v>
      </c>
    </row>
    <row r="2354" spans="1:11" x14ac:dyDescent="0.2">
      <c r="A2354">
        <v>5.9798328364972204E-15</v>
      </c>
      <c r="B2354">
        <v>0.61106287426539196</v>
      </c>
      <c r="C2354">
        <v>0.316</v>
      </c>
      <c r="D2354">
        <v>6.8000000000000005E-2</v>
      </c>
      <c r="E2354">
        <v>9.2585751807486499E-11</v>
      </c>
      <c r="F2354">
        <v>4</v>
      </c>
      <c r="G2354" t="s">
        <v>4912</v>
      </c>
      <c r="H2354" t="s">
        <v>4913</v>
      </c>
      <c r="I2354" t="s">
        <v>4912</v>
      </c>
      <c r="J2354" s="1" t="str">
        <f>HYPERLINK("https://zfin.org/ZDB-GENE-030131-9923")</f>
        <v>https://zfin.org/ZDB-GENE-030131-9923</v>
      </c>
      <c r="K2354" t="s">
        <v>4914</v>
      </c>
    </row>
    <row r="2355" spans="1:11" x14ac:dyDescent="0.2">
      <c r="A2355">
        <v>9.0248400025557801E-15</v>
      </c>
      <c r="B2355">
        <v>0.50750786315704599</v>
      </c>
      <c r="C2355">
        <v>0.92400000000000004</v>
      </c>
      <c r="D2355">
        <v>0.89300000000000002</v>
      </c>
      <c r="E2355">
        <v>1.3973159775957101E-10</v>
      </c>
      <c r="F2355">
        <v>4</v>
      </c>
      <c r="G2355" t="s">
        <v>2332</v>
      </c>
      <c r="H2355" t="s">
        <v>2333</v>
      </c>
      <c r="I2355" t="s">
        <v>2332</v>
      </c>
      <c r="J2355" s="1" t="str">
        <f>HYPERLINK("https://zfin.org/ZDB-GENE-020419-12")</f>
        <v>https://zfin.org/ZDB-GENE-020419-12</v>
      </c>
      <c r="K2355" t="s">
        <v>2334</v>
      </c>
    </row>
    <row r="2356" spans="1:11" x14ac:dyDescent="0.2">
      <c r="A2356">
        <v>9.9751677475612392E-15</v>
      </c>
      <c r="B2356">
        <v>0.27628915335954501</v>
      </c>
      <c r="C2356">
        <v>0.16500000000000001</v>
      </c>
      <c r="D2356">
        <v>1.9E-2</v>
      </c>
      <c r="E2356">
        <v>1.5444552223549101E-10</v>
      </c>
      <c r="F2356">
        <v>4</v>
      </c>
      <c r="G2356" t="s">
        <v>4576</v>
      </c>
      <c r="H2356" t="s">
        <v>4577</v>
      </c>
      <c r="I2356" t="s">
        <v>4576</v>
      </c>
      <c r="J2356" s="1" t="str">
        <f>HYPERLINK("https://zfin.org/ZDB-GENE-041111-205")</f>
        <v>https://zfin.org/ZDB-GENE-041111-205</v>
      </c>
      <c r="K2356" t="s">
        <v>4578</v>
      </c>
    </row>
    <row r="2357" spans="1:11" x14ac:dyDescent="0.2">
      <c r="A2357">
        <v>1.25215256202682E-14</v>
      </c>
      <c r="B2357">
        <v>0.401916184164964</v>
      </c>
      <c r="C2357">
        <v>0.253</v>
      </c>
      <c r="D2357">
        <v>4.5999999999999999E-2</v>
      </c>
      <c r="E2357">
        <v>1.9387078117861301E-10</v>
      </c>
      <c r="F2357">
        <v>4</v>
      </c>
      <c r="G2357" t="s">
        <v>4352</v>
      </c>
      <c r="H2357" t="s">
        <v>4353</v>
      </c>
      <c r="I2357" t="s">
        <v>4352</v>
      </c>
      <c r="J2357" s="1" t="str">
        <f>HYPERLINK("https://zfin.org/ZDB-GENE-050506-32")</f>
        <v>https://zfin.org/ZDB-GENE-050506-32</v>
      </c>
      <c r="K2357" t="s">
        <v>4354</v>
      </c>
    </row>
    <row r="2358" spans="1:11" x14ac:dyDescent="0.2">
      <c r="A2358">
        <v>1.26384656036037E-14</v>
      </c>
      <c r="B2358">
        <v>0.70112774473112505</v>
      </c>
      <c r="C2358">
        <v>0.73399999999999999</v>
      </c>
      <c r="D2358">
        <v>0.33600000000000002</v>
      </c>
      <c r="E2358">
        <v>1.9568136294059699E-10</v>
      </c>
      <c r="F2358">
        <v>4</v>
      </c>
      <c r="G2358" t="s">
        <v>5395</v>
      </c>
      <c r="H2358" t="s">
        <v>5396</v>
      </c>
      <c r="I2358" t="s">
        <v>5395</v>
      </c>
      <c r="J2358" s="1" t="str">
        <f>HYPERLINK("https://zfin.org/ZDB-GENE-040109-1")</f>
        <v>https://zfin.org/ZDB-GENE-040109-1</v>
      </c>
      <c r="K2358" t="s">
        <v>5397</v>
      </c>
    </row>
    <row r="2359" spans="1:11" x14ac:dyDescent="0.2">
      <c r="A2359">
        <v>1.28473582938343E-14</v>
      </c>
      <c r="B2359">
        <v>0.25079871693127498</v>
      </c>
      <c r="C2359">
        <v>0.19</v>
      </c>
      <c r="D2359">
        <v>2.5999999999999999E-2</v>
      </c>
      <c r="E2359">
        <v>1.9891564846343599E-10</v>
      </c>
      <c r="F2359">
        <v>4</v>
      </c>
      <c r="G2359" t="s">
        <v>5398</v>
      </c>
      <c r="H2359" t="s">
        <v>5399</v>
      </c>
      <c r="I2359" t="s">
        <v>5398</v>
      </c>
      <c r="J2359" s="1" t="str">
        <f>HYPERLINK("https://zfin.org/ZDB-GENE-041114-24")</f>
        <v>https://zfin.org/ZDB-GENE-041114-24</v>
      </c>
      <c r="K2359" t="s">
        <v>5400</v>
      </c>
    </row>
    <row r="2360" spans="1:11" x14ac:dyDescent="0.2">
      <c r="A2360">
        <v>1.2890396938383101E-14</v>
      </c>
      <c r="B2360">
        <v>0.41606678522171298</v>
      </c>
      <c r="C2360">
        <v>0.17699999999999999</v>
      </c>
      <c r="D2360">
        <v>2.3E-2</v>
      </c>
      <c r="E2360">
        <v>1.9958201579698501E-10</v>
      </c>
      <c r="F2360">
        <v>4</v>
      </c>
      <c r="G2360" t="s">
        <v>4865</v>
      </c>
      <c r="H2360" t="s">
        <v>4866</v>
      </c>
      <c r="I2360" t="s">
        <v>4865</v>
      </c>
      <c r="J2360" s="1" t="str">
        <f>HYPERLINK("https://zfin.org/ZDB-GENE-040426-1121")</f>
        <v>https://zfin.org/ZDB-GENE-040426-1121</v>
      </c>
      <c r="K2360" t="s">
        <v>4867</v>
      </c>
    </row>
    <row r="2361" spans="1:11" x14ac:dyDescent="0.2">
      <c r="A2361">
        <v>1.4565457868604199E-14</v>
      </c>
      <c r="B2361">
        <v>0.53221418584170799</v>
      </c>
      <c r="C2361">
        <v>0.96199999999999997</v>
      </c>
      <c r="D2361">
        <v>0.872</v>
      </c>
      <c r="E2361">
        <v>2.2551698417959901E-10</v>
      </c>
      <c r="F2361">
        <v>4</v>
      </c>
      <c r="G2361" t="s">
        <v>2045</v>
      </c>
      <c r="H2361" t="s">
        <v>2046</v>
      </c>
      <c r="I2361" t="s">
        <v>2045</v>
      </c>
      <c r="J2361" s="1" t="str">
        <f>HYPERLINK("https://zfin.org/ZDB-GENE-040426-1788")</f>
        <v>https://zfin.org/ZDB-GENE-040426-1788</v>
      </c>
      <c r="K2361" t="s">
        <v>2047</v>
      </c>
    </row>
    <row r="2362" spans="1:11" x14ac:dyDescent="0.2">
      <c r="A2362">
        <v>1.5273033509101499E-14</v>
      </c>
      <c r="B2362">
        <v>0.66286299602315601</v>
      </c>
      <c r="C2362">
        <v>0.45600000000000002</v>
      </c>
      <c r="D2362">
        <v>0.14099999999999999</v>
      </c>
      <c r="E2362">
        <v>2.3647237782141799E-10</v>
      </c>
      <c r="F2362">
        <v>4</v>
      </c>
      <c r="G2362" t="s">
        <v>5401</v>
      </c>
      <c r="H2362" t="s">
        <v>5402</v>
      </c>
      <c r="I2362" t="s">
        <v>5401</v>
      </c>
      <c r="J2362" s="1" t="str">
        <f>HYPERLINK("https://zfin.org/ZDB-GENE-980526-466")</f>
        <v>https://zfin.org/ZDB-GENE-980526-466</v>
      </c>
      <c r="K2362" t="s">
        <v>5403</v>
      </c>
    </row>
    <row r="2363" spans="1:11" x14ac:dyDescent="0.2">
      <c r="A2363">
        <v>1.6483764248419699E-14</v>
      </c>
      <c r="B2363">
        <v>0.44803111023679199</v>
      </c>
      <c r="C2363">
        <v>0.27800000000000002</v>
      </c>
      <c r="D2363">
        <v>5.5E-2</v>
      </c>
      <c r="E2363">
        <v>2.55218121858282E-10</v>
      </c>
      <c r="F2363">
        <v>4</v>
      </c>
      <c r="G2363" t="s">
        <v>5404</v>
      </c>
      <c r="H2363" t="s">
        <v>5405</v>
      </c>
      <c r="I2363" t="s">
        <v>5404</v>
      </c>
      <c r="J2363" s="1" t="str">
        <f>HYPERLINK("https://zfin.org/ZDB-GENE-030219-104")</f>
        <v>https://zfin.org/ZDB-GENE-030219-104</v>
      </c>
      <c r="K2363" t="s">
        <v>5406</v>
      </c>
    </row>
    <row r="2364" spans="1:11" x14ac:dyDescent="0.2">
      <c r="A2364">
        <v>1.6619079180803901E-14</v>
      </c>
      <c r="B2364">
        <v>0.72112665388430497</v>
      </c>
      <c r="C2364">
        <v>0.70899999999999996</v>
      </c>
      <c r="D2364">
        <v>0.32</v>
      </c>
      <c r="E2364">
        <v>2.5731320295638601E-10</v>
      </c>
      <c r="F2364">
        <v>4</v>
      </c>
      <c r="G2364" t="s">
        <v>5059</v>
      </c>
      <c r="H2364" t="s">
        <v>5060</v>
      </c>
      <c r="I2364" t="s">
        <v>5059</v>
      </c>
      <c r="J2364" s="1" t="str">
        <f>HYPERLINK("https://zfin.org/ZDB-GENE-061215-102")</f>
        <v>https://zfin.org/ZDB-GENE-061215-102</v>
      </c>
      <c r="K2364" t="s">
        <v>5061</v>
      </c>
    </row>
    <row r="2365" spans="1:11" x14ac:dyDescent="0.2">
      <c r="A2365">
        <v>2.34758197593797E-14</v>
      </c>
      <c r="B2365">
        <v>0.63966318067261296</v>
      </c>
      <c r="C2365">
        <v>0.43</v>
      </c>
      <c r="D2365">
        <v>0.128</v>
      </c>
      <c r="E2365">
        <v>3.6347611733447598E-10</v>
      </c>
      <c r="F2365">
        <v>4</v>
      </c>
      <c r="G2365" t="s">
        <v>4765</v>
      </c>
      <c r="H2365" t="s">
        <v>4766</v>
      </c>
      <c r="I2365" t="s">
        <v>4765</v>
      </c>
      <c r="J2365" s="1" t="str">
        <f>HYPERLINK("https://zfin.org/ZDB-GENE-030912-3")</f>
        <v>https://zfin.org/ZDB-GENE-030912-3</v>
      </c>
      <c r="K2365" t="s">
        <v>4767</v>
      </c>
    </row>
    <row r="2366" spans="1:11" x14ac:dyDescent="0.2">
      <c r="A2366">
        <v>2.4933115371070901E-14</v>
      </c>
      <c r="B2366">
        <v>0.61896567947929304</v>
      </c>
      <c r="C2366">
        <v>0.53200000000000003</v>
      </c>
      <c r="D2366">
        <v>0.182</v>
      </c>
      <c r="E2366">
        <v>3.8603942529029099E-10</v>
      </c>
      <c r="F2366">
        <v>4</v>
      </c>
      <c r="G2366" t="s">
        <v>5407</v>
      </c>
      <c r="H2366" t="s">
        <v>5408</v>
      </c>
      <c r="I2366" t="s">
        <v>5407</v>
      </c>
      <c r="J2366" s="1" t="str">
        <f>HYPERLINK("https://zfin.org/ZDB-GENE-030131-5783")</f>
        <v>https://zfin.org/ZDB-GENE-030131-5783</v>
      </c>
      <c r="K2366" t="s">
        <v>5409</v>
      </c>
    </row>
    <row r="2367" spans="1:11" x14ac:dyDescent="0.2">
      <c r="A2367">
        <v>4.2058377457194102E-14</v>
      </c>
      <c r="B2367">
        <v>0.36318410071414697</v>
      </c>
      <c r="C2367">
        <v>0.17699999999999999</v>
      </c>
      <c r="D2367">
        <v>2.4E-2</v>
      </c>
      <c r="E2367">
        <v>6.5118985816973602E-10</v>
      </c>
      <c r="F2367">
        <v>4</v>
      </c>
      <c r="G2367" t="s">
        <v>5410</v>
      </c>
      <c r="H2367" t="s">
        <v>5411</v>
      </c>
      <c r="I2367" t="s">
        <v>5410</v>
      </c>
      <c r="J2367" s="1" t="str">
        <f>HYPERLINK("https://zfin.org/ZDB-GENE-050522-499")</f>
        <v>https://zfin.org/ZDB-GENE-050522-499</v>
      </c>
      <c r="K2367" t="s">
        <v>5412</v>
      </c>
    </row>
    <row r="2368" spans="1:11" x14ac:dyDescent="0.2">
      <c r="A2368">
        <v>4.4707342232888297E-14</v>
      </c>
      <c r="B2368">
        <v>-1.4537516695395301</v>
      </c>
      <c r="C2368">
        <v>0.46800000000000003</v>
      </c>
      <c r="D2368">
        <v>0.73699999999999999</v>
      </c>
      <c r="E2368">
        <v>6.9220377979181005E-10</v>
      </c>
      <c r="F2368">
        <v>4</v>
      </c>
      <c r="G2368" t="s">
        <v>2057</v>
      </c>
      <c r="H2368" t="s">
        <v>2058</v>
      </c>
      <c r="I2368" t="s">
        <v>2057</v>
      </c>
      <c r="J2368" s="1" t="str">
        <f>HYPERLINK("https://zfin.org/ZDB-GENE-041121-18")</f>
        <v>https://zfin.org/ZDB-GENE-041121-18</v>
      </c>
      <c r="K2368" t="s">
        <v>2059</v>
      </c>
    </row>
    <row r="2369" spans="1:11" x14ac:dyDescent="0.2">
      <c r="A2369">
        <v>4.76027856523863E-14</v>
      </c>
      <c r="B2369">
        <v>0.47725837992256198</v>
      </c>
      <c r="C2369">
        <v>0.96199999999999997</v>
      </c>
      <c r="D2369">
        <v>0.94199999999999995</v>
      </c>
      <c r="E2369">
        <v>7.3703393025589703E-10</v>
      </c>
      <c r="F2369">
        <v>4</v>
      </c>
      <c r="G2369" t="s">
        <v>2033</v>
      </c>
      <c r="H2369" t="s">
        <v>2034</v>
      </c>
      <c r="I2369" t="s">
        <v>2033</v>
      </c>
      <c r="J2369" s="1" t="str">
        <f>HYPERLINK("https://zfin.org/ZDB-GENE-040801-8")</f>
        <v>https://zfin.org/ZDB-GENE-040801-8</v>
      </c>
      <c r="K2369" t="s">
        <v>2035</v>
      </c>
    </row>
    <row r="2370" spans="1:11" x14ac:dyDescent="0.2">
      <c r="A2370">
        <v>5.2227486109188403E-14</v>
      </c>
      <c r="B2370">
        <v>0.53640225313548295</v>
      </c>
      <c r="C2370">
        <v>0.50600000000000001</v>
      </c>
      <c r="D2370">
        <v>0.16700000000000001</v>
      </c>
      <c r="E2370">
        <v>8.0863816742856403E-10</v>
      </c>
      <c r="F2370">
        <v>4</v>
      </c>
      <c r="G2370" t="s">
        <v>5413</v>
      </c>
      <c r="H2370" t="s">
        <v>5414</v>
      </c>
      <c r="I2370" t="s">
        <v>5413</v>
      </c>
      <c r="J2370" s="1" t="str">
        <f>HYPERLINK("https://zfin.org/ZDB-GENE-030131-2182")</f>
        <v>https://zfin.org/ZDB-GENE-030131-2182</v>
      </c>
      <c r="K2370" t="s">
        <v>5415</v>
      </c>
    </row>
    <row r="2371" spans="1:11" x14ac:dyDescent="0.2">
      <c r="A2371">
        <v>5.7554035008997196E-14</v>
      </c>
      <c r="B2371">
        <v>0.50755879192664499</v>
      </c>
      <c r="C2371">
        <v>0.215</v>
      </c>
      <c r="D2371">
        <v>3.5000000000000003E-2</v>
      </c>
      <c r="E2371">
        <v>8.9110912404430402E-10</v>
      </c>
      <c r="F2371">
        <v>4</v>
      </c>
      <c r="G2371" t="s">
        <v>4369</v>
      </c>
      <c r="H2371" t="s">
        <v>4370</v>
      </c>
      <c r="I2371" t="s">
        <v>4369</v>
      </c>
      <c r="J2371" s="1" t="str">
        <f>HYPERLINK("https://zfin.org/")</f>
        <v>https://zfin.org/</v>
      </c>
      <c r="K2371" t="s">
        <v>4371</v>
      </c>
    </row>
    <row r="2372" spans="1:11" x14ac:dyDescent="0.2">
      <c r="A2372">
        <v>6.3566105047282797E-14</v>
      </c>
      <c r="B2372">
        <v>-0.97431283794178203</v>
      </c>
      <c r="C2372">
        <v>0.65800000000000003</v>
      </c>
      <c r="D2372">
        <v>0.83699999999999997</v>
      </c>
      <c r="E2372">
        <v>9.8419400444708006E-10</v>
      </c>
      <c r="F2372">
        <v>4</v>
      </c>
      <c r="G2372" t="s">
        <v>1465</v>
      </c>
      <c r="H2372" t="s">
        <v>1466</v>
      </c>
      <c r="I2372" t="s">
        <v>1465</v>
      </c>
      <c r="J2372" s="1" t="str">
        <f>HYPERLINK("https://zfin.org/ZDB-GENE-030131-2391")</f>
        <v>https://zfin.org/ZDB-GENE-030131-2391</v>
      </c>
      <c r="K2372" t="s">
        <v>1467</v>
      </c>
    </row>
    <row r="2373" spans="1:11" x14ac:dyDescent="0.2">
      <c r="A2373">
        <v>6.4123123591767298E-14</v>
      </c>
      <c r="B2373">
        <v>0.34601506582103603</v>
      </c>
      <c r="C2373">
        <v>0.24099999999999999</v>
      </c>
      <c r="D2373">
        <v>4.2999999999999997E-2</v>
      </c>
      <c r="E2373">
        <v>9.92818322571334E-10</v>
      </c>
      <c r="F2373">
        <v>4</v>
      </c>
      <c r="G2373" t="s">
        <v>5416</v>
      </c>
      <c r="H2373" t="s">
        <v>5417</v>
      </c>
      <c r="I2373" t="s">
        <v>5416</v>
      </c>
      <c r="J2373" s="1" t="str">
        <f>HYPERLINK("https://zfin.org/ZDB-GENE-021031-3")</f>
        <v>https://zfin.org/ZDB-GENE-021031-3</v>
      </c>
      <c r="K2373" t="s">
        <v>5418</v>
      </c>
    </row>
    <row r="2374" spans="1:11" x14ac:dyDescent="0.2">
      <c r="A2374">
        <v>7.0868751245183406E-14</v>
      </c>
      <c r="B2374">
        <v>0.67618054280531403</v>
      </c>
      <c r="C2374">
        <v>0.69599999999999995</v>
      </c>
      <c r="D2374">
        <v>0.35199999999999998</v>
      </c>
      <c r="E2374">
        <v>1.09726087552917E-9</v>
      </c>
      <c r="F2374">
        <v>4</v>
      </c>
      <c r="G2374" t="s">
        <v>3653</v>
      </c>
      <c r="H2374" t="s">
        <v>3654</v>
      </c>
      <c r="I2374" t="s">
        <v>3653</v>
      </c>
      <c r="J2374" s="1" t="str">
        <f>HYPERLINK("https://zfin.org/ZDB-GENE-990714-24")</f>
        <v>https://zfin.org/ZDB-GENE-990714-24</v>
      </c>
      <c r="K2374" t="s">
        <v>3655</v>
      </c>
    </row>
    <row r="2375" spans="1:11" x14ac:dyDescent="0.2">
      <c r="A2375">
        <v>8.1887534004236405E-14</v>
      </c>
      <c r="B2375">
        <v>0.32440679667583799</v>
      </c>
      <c r="C2375">
        <v>1</v>
      </c>
      <c r="D2375">
        <v>0.999</v>
      </c>
      <c r="E2375">
        <v>1.2678646889875901E-9</v>
      </c>
      <c r="F2375">
        <v>4</v>
      </c>
      <c r="G2375" t="s">
        <v>812</v>
      </c>
      <c r="H2375" t="s">
        <v>813</v>
      </c>
      <c r="I2375" t="s">
        <v>812</v>
      </c>
      <c r="J2375" s="1" t="str">
        <f>HYPERLINK("https://zfin.org/ZDB-GENE-990415-52")</f>
        <v>https://zfin.org/ZDB-GENE-990415-52</v>
      </c>
      <c r="K2375" t="s">
        <v>814</v>
      </c>
    </row>
    <row r="2376" spans="1:11" x14ac:dyDescent="0.2">
      <c r="A2376">
        <v>8.9888540569738299E-14</v>
      </c>
      <c r="B2376">
        <v>0.52102828182043304</v>
      </c>
      <c r="C2376">
        <v>0.27800000000000002</v>
      </c>
      <c r="D2376">
        <v>6.0999999999999999E-2</v>
      </c>
      <c r="E2376">
        <v>1.39174427364126E-9</v>
      </c>
      <c r="F2376">
        <v>4</v>
      </c>
      <c r="G2376" t="s">
        <v>5419</v>
      </c>
      <c r="H2376" t="s">
        <v>5420</v>
      </c>
      <c r="I2376" t="s">
        <v>5419</v>
      </c>
      <c r="J2376" s="1" t="str">
        <f>HYPERLINK("https://zfin.org/ZDB-GENE-040912-20")</f>
        <v>https://zfin.org/ZDB-GENE-040912-20</v>
      </c>
      <c r="K2376" t="s">
        <v>5421</v>
      </c>
    </row>
    <row r="2377" spans="1:11" x14ac:dyDescent="0.2">
      <c r="A2377">
        <v>9.4009670462646705E-14</v>
      </c>
      <c r="B2377">
        <v>0.78633361390290502</v>
      </c>
      <c r="C2377">
        <v>0.73399999999999999</v>
      </c>
      <c r="D2377">
        <v>0.36499999999999999</v>
      </c>
      <c r="E2377">
        <v>1.45555172777316E-9</v>
      </c>
      <c r="F2377">
        <v>4</v>
      </c>
      <c r="G2377" t="s">
        <v>4076</v>
      </c>
      <c r="H2377" t="s">
        <v>4077</v>
      </c>
      <c r="I2377" t="s">
        <v>4076</v>
      </c>
      <c r="J2377" s="1" t="str">
        <f>HYPERLINK("https://zfin.org/ZDB-GENE-040930-9")</f>
        <v>https://zfin.org/ZDB-GENE-040930-9</v>
      </c>
      <c r="K2377" t="s">
        <v>4078</v>
      </c>
    </row>
    <row r="2378" spans="1:11" x14ac:dyDescent="0.2">
      <c r="A2378">
        <v>1.01747593311342E-13</v>
      </c>
      <c r="B2378">
        <v>0.30562499604773002</v>
      </c>
      <c r="C2378">
        <v>0.17699999999999999</v>
      </c>
      <c r="D2378">
        <v>2.4E-2</v>
      </c>
      <c r="E2378">
        <v>1.5753579872394999E-9</v>
      </c>
      <c r="F2378">
        <v>4</v>
      </c>
      <c r="G2378" t="s">
        <v>4729</v>
      </c>
      <c r="H2378" t="s">
        <v>4730</v>
      </c>
      <c r="I2378" t="s">
        <v>4729</v>
      </c>
      <c r="J2378" s="1" t="str">
        <f>HYPERLINK("https://zfin.org/ZDB-GENE-020419-16")</f>
        <v>https://zfin.org/ZDB-GENE-020419-16</v>
      </c>
      <c r="K2378" t="s">
        <v>4731</v>
      </c>
    </row>
    <row r="2379" spans="1:11" x14ac:dyDescent="0.2">
      <c r="A2379">
        <v>1.07121803335725E-13</v>
      </c>
      <c r="B2379">
        <v>0.42729039780172301</v>
      </c>
      <c r="C2379">
        <v>0.97499999999999998</v>
      </c>
      <c r="D2379">
        <v>0.96099999999999997</v>
      </c>
      <c r="E2379">
        <v>1.6585668810470199E-9</v>
      </c>
      <c r="F2379">
        <v>4</v>
      </c>
      <c r="G2379" t="s">
        <v>1615</v>
      </c>
      <c r="H2379" t="s">
        <v>1616</v>
      </c>
      <c r="I2379" t="s">
        <v>1615</v>
      </c>
      <c r="J2379" s="1" t="str">
        <f>HYPERLINK("https://zfin.org/ZDB-GENE-030131-8756")</f>
        <v>https://zfin.org/ZDB-GENE-030131-8756</v>
      </c>
      <c r="K2379" t="s">
        <v>1617</v>
      </c>
    </row>
    <row r="2380" spans="1:11" x14ac:dyDescent="0.2">
      <c r="A2380">
        <v>1.1074406083445699E-13</v>
      </c>
      <c r="B2380">
        <v>0.404872864243841</v>
      </c>
      <c r="C2380">
        <v>1</v>
      </c>
      <c r="D2380">
        <v>0.98299999999999998</v>
      </c>
      <c r="E2380">
        <v>1.7146502938999001E-9</v>
      </c>
      <c r="F2380">
        <v>4</v>
      </c>
      <c r="G2380" t="s">
        <v>1165</v>
      </c>
      <c r="H2380" t="s">
        <v>1166</v>
      </c>
      <c r="I2380" t="s">
        <v>1165</v>
      </c>
      <c r="J2380" s="1" t="str">
        <f>HYPERLINK("https://zfin.org/ZDB-GENE-040426-1033")</f>
        <v>https://zfin.org/ZDB-GENE-040426-1033</v>
      </c>
      <c r="K2380" t="s">
        <v>1167</v>
      </c>
    </row>
    <row r="2381" spans="1:11" x14ac:dyDescent="0.2">
      <c r="A2381">
        <v>1.11019009368256E-13</v>
      </c>
      <c r="B2381">
        <v>0.40312486032080402</v>
      </c>
      <c r="C2381">
        <v>0.215</v>
      </c>
      <c r="D2381">
        <v>3.5999999999999997E-2</v>
      </c>
      <c r="E2381">
        <v>1.7189073220487099E-9</v>
      </c>
      <c r="F2381">
        <v>4</v>
      </c>
      <c r="G2381" t="s">
        <v>4426</v>
      </c>
      <c r="H2381" t="s">
        <v>4427</v>
      </c>
      <c r="I2381" t="s">
        <v>4426</v>
      </c>
      <c r="J2381" s="1" t="str">
        <f>HYPERLINK("https://zfin.org/ZDB-GENE-060810-13")</f>
        <v>https://zfin.org/ZDB-GENE-060810-13</v>
      </c>
      <c r="K2381" t="s">
        <v>4428</v>
      </c>
    </row>
    <row r="2382" spans="1:11" x14ac:dyDescent="0.2">
      <c r="A2382">
        <v>1.1395133313414199E-13</v>
      </c>
      <c r="B2382">
        <v>-1.5792821493182501</v>
      </c>
      <c r="C2382">
        <v>0.64600000000000002</v>
      </c>
      <c r="D2382">
        <v>0.83</v>
      </c>
      <c r="E2382">
        <v>1.7643084909159199E-9</v>
      </c>
      <c r="F2382">
        <v>4</v>
      </c>
      <c r="G2382" t="s">
        <v>2727</v>
      </c>
      <c r="H2382" t="s">
        <v>2728</v>
      </c>
      <c r="I2382" t="s">
        <v>2727</v>
      </c>
      <c r="J2382" s="1" t="str">
        <f>HYPERLINK("https://zfin.org/")</f>
        <v>https://zfin.org/</v>
      </c>
      <c r="K2382" t="s">
        <v>2729</v>
      </c>
    </row>
    <row r="2383" spans="1:11" x14ac:dyDescent="0.2">
      <c r="A2383">
        <v>1.16191130550098E-13</v>
      </c>
      <c r="B2383">
        <v>0.55912397052815499</v>
      </c>
      <c r="C2383">
        <v>0.32900000000000001</v>
      </c>
      <c r="D2383">
        <v>0.08</v>
      </c>
      <c r="E2383">
        <v>1.79898727430717E-9</v>
      </c>
      <c r="F2383">
        <v>4</v>
      </c>
      <c r="G2383" t="s">
        <v>4408</v>
      </c>
      <c r="H2383" t="s">
        <v>4409</v>
      </c>
      <c r="I2383" t="s">
        <v>4408</v>
      </c>
      <c r="J2383" s="1" t="str">
        <f>HYPERLINK("https://zfin.org/ZDB-GENE-030131-5511")</f>
        <v>https://zfin.org/ZDB-GENE-030131-5511</v>
      </c>
      <c r="K2383" t="s">
        <v>4410</v>
      </c>
    </row>
    <row r="2384" spans="1:11" x14ac:dyDescent="0.2">
      <c r="A2384">
        <v>1.38109490981385E-13</v>
      </c>
      <c r="B2384">
        <v>0.48252200500808401</v>
      </c>
      <c r="C2384">
        <v>0.98699999999999999</v>
      </c>
      <c r="D2384">
        <v>0.94299999999999995</v>
      </c>
      <c r="E2384">
        <v>2.1383492488647802E-9</v>
      </c>
      <c r="F2384">
        <v>4</v>
      </c>
      <c r="G2384" t="s">
        <v>1312</v>
      </c>
      <c r="H2384" t="s">
        <v>1313</v>
      </c>
      <c r="I2384" t="s">
        <v>1312</v>
      </c>
      <c r="J2384" s="1" t="str">
        <f>HYPERLINK("https://zfin.org/ZDB-GENE-040718-190")</f>
        <v>https://zfin.org/ZDB-GENE-040718-190</v>
      </c>
      <c r="K2384" t="s">
        <v>1314</v>
      </c>
    </row>
    <row r="2385" spans="1:11" x14ac:dyDescent="0.2">
      <c r="A2385">
        <v>1.5396765852964301E-13</v>
      </c>
      <c r="B2385">
        <v>0.58323704280915301</v>
      </c>
      <c r="C2385">
        <v>0.22800000000000001</v>
      </c>
      <c r="D2385">
        <v>4.2000000000000003E-2</v>
      </c>
      <c r="E2385">
        <v>2.3838812570144699E-9</v>
      </c>
      <c r="F2385">
        <v>4</v>
      </c>
      <c r="G2385" t="s">
        <v>4295</v>
      </c>
      <c r="H2385" t="s">
        <v>4296</v>
      </c>
      <c r="I2385" t="s">
        <v>4295</v>
      </c>
      <c r="J2385" s="1" t="str">
        <f>HYPERLINK("https://zfin.org/ZDB-GENE-020418-1")</f>
        <v>https://zfin.org/ZDB-GENE-020418-1</v>
      </c>
      <c r="K2385" t="s">
        <v>4297</v>
      </c>
    </row>
    <row r="2386" spans="1:11" x14ac:dyDescent="0.2">
      <c r="A2386">
        <v>1.6026104068453601E-13</v>
      </c>
      <c r="B2386">
        <v>0.335346983628592</v>
      </c>
      <c r="C2386">
        <v>0.152</v>
      </c>
      <c r="D2386">
        <v>1.7999999999999999E-2</v>
      </c>
      <c r="E2386">
        <v>2.4813216929186598E-9</v>
      </c>
      <c r="F2386">
        <v>4</v>
      </c>
      <c r="G2386" t="s">
        <v>4477</v>
      </c>
      <c r="H2386" t="s">
        <v>4478</v>
      </c>
      <c r="I2386" t="s">
        <v>4477</v>
      </c>
      <c r="J2386" s="1" t="str">
        <f>HYPERLINK("https://zfin.org/ZDB-GENE-030131-1917")</f>
        <v>https://zfin.org/ZDB-GENE-030131-1917</v>
      </c>
      <c r="K2386" t="s">
        <v>4479</v>
      </c>
    </row>
    <row r="2387" spans="1:11" x14ac:dyDescent="0.2">
      <c r="A2387">
        <v>1.80115605738371E-13</v>
      </c>
      <c r="B2387">
        <v>0.39749323575044698</v>
      </c>
      <c r="C2387">
        <v>0.152</v>
      </c>
      <c r="D2387">
        <v>1.7999999999999999E-2</v>
      </c>
      <c r="E2387">
        <v>2.7887299236472E-9</v>
      </c>
      <c r="F2387">
        <v>4</v>
      </c>
      <c r="G2387" t="s">
        <v>4744</v>
      </c>
      <c r="H2387" t="s">
        <v>4745</v>
      </c>
      <c r="I2387" t="s">
        <v>4744</v>
      </c>
      <c r="J2387" s="1" t="str">
        <f>HYPERLINK("https://zfin.org/ZDB-GENE-050208-620")</f>
        <v>https://zfin.org/ZDB-GENE-050208-620</v>
      </c>
      <c r="K2387" t="s">
        <v>4746</v>
      </c>
    </row>
    <row r="2388" spans="1:11" x14ac:dyDescent="0.2">
      <c r="A2388">
        <v>2.0552394173405399E-13</v>
      </c>
      <c r="B2388">
        <v>0.918205478346374</v>
      </c>
      <c r="C2388">
        <v>0.27800000000000002</v>
      </c>
      <c r="D2388">
        <v>6.2E-2</v>
      </c>
      <c r="E2388">
        <v>3.1821271898683601E-9</v>
      </c>
      <c r="F2388">
        <v>4</v>
      </c>
      <c r="G2388" t="s">
        <v>4289</v>
      </c>
      <c r="H2388" t="s">
        <v>4290</v>
      </c>
      <c r="I2388" t="s">
        <v>4289</v>
      </c>
      <c r="J2388" s="1" t="str">
        <f>HYPERLINK("https://zfin.org/ZDB-GENE-050327-77")</f>
        <v>https://zfin.org/ZDB-GENE-050327-77</v>
      </c>
      <c r="K2388" t="s">
        <v>4291</v>
      </c>
    </row>
    <row r="2389" spans="1:11" x14ac:dyDescent="0.2">
      <c r="A2389">
        <v>2.08921599876109E-13</v>
      </c>
      <c r="B2389">
        <v>0.70839557178891299</v>
      </c>
      <c r="C2389">
        <v>0.65800000000000003</v>
      </c>
      <c r="D2389">
        <v>0.3</v>
      </c>
      <c r="E2389">
        <v>3.23473313088179E-9</v>
      </c>
      <c r="F2389">
        <v>4</v>
      </c>
      <c r="G2389" t="s">
        <v>5008</v>
      </c>
      <c r="H2389" t="s">
        <v>5009</v>
      </c>
      <c r="I2389" t="s">
        <v>5008</v>
      </c>
      <c r="J2389" s="1" t="str">
        <f>HYPERLINK("https://zfin.org/ZDB-GENE-040912-105")</f>
        <v>https://zfin.org/ZDB-GENE-040912-105</v>
      </c>
      <c r="K2389" t="s">
        <v>5010</v>
      </c>
    </row>
    <row r="2390" spans="1:11" x14ac:dyDescent="0.2">
      <c r="A2390">
        <v>2.7168926687801602E-13</v>
      </c>
      <c r="B2390">
        <v>0.29538205512579901</v>
      </c>
      <c r="C2390">
        <v>0.30399999999999999</v>
      </c>
      <c r="D2390">
        <v>6.7000000000000004E-2</v>
      </c>
      <c r="E2390">
        <v>4.2065649190723202E-9</v>
      </c>
      <c r="F2390">
        <v>4</v>
      </c>
      <c r="G2390" t="s">
        <v>5422</v>
      </c>
      <c r="H2390" t="s">
        <v>5423</v>
      </c>
      <c r="I2390" t="s">
        <v>5422</v>
      </c>
      <c r="J2390" s="1" t="str">
        <f>HYPERLINK("https://zfin.org/ZDB-GENE-100716-4")</f>
        <v>https://zfin.org/ZDB-GENE-100716-4</v>
      </c>
      <c r="K2390" t="s">
        <v>5424</v>
      </c>
    </row>
    <row r="2391" spans="1:11" x14ac:dyDescent="0.2">
      <c r="A2391">
        <v>2.7494386632894898E-13</v>
      </c>
      <c r="B2391">
        <v>0.25423716315918199</v>
      </c>
      <c r="C2391">
        <v>0.13900000000000001</v>
      </c>
      <c r="D2391">
        <v>1.4999999999999999E-2</v>
      </c>
      <c r="E2391">
        <v>4.2569558823711198E-9</v>
      </c>
      <c r="F2391">
        <v>4</v>
      </c>
      <c r="G2391" t="s">
        <v>3398</v>
      </c>
      <c r="H2391" t="s">
        <v>3399</v>
      </c>
      <c r="I2391" t="s">
        <v>3398</v>
      </c>
      <c r="J2391" s="1" t="str">
        <f>HYPERLINK("https://zfin.org/ZDB-GENE-041201-1")</f>
        <v>https://zfin.org/ZDB-GENE-041201-1</v>
      </c>
      <c r="K2391" t="s">
        <v>3400</v>
      </c>
    </row>
    <row r="2392" spans="1:11" x14ac:dyDescent="0.2">
      <c r="A2392">
        <v>2.8543717924987302E-13</v>
      </c>
      <c r="B2392">
        <v>0.31463396322743897</v>
      </c>
      <c r="C2392">
        <v>0.20300000000000001</v>
      </c>
      <c r="D2392">
        <v>3.3000000000000002E-2</v>
      </c>
      <c r="E2392">
        <v>4.4194238463257903E-9</v>
      </c>
      <c r="F2392">
        <v>4</v>
      </c>
      <c r="G2392" t="s">
        <v>5425</v>
      </c>
      <c r="H2392" t="s">
        <v>5426</v>
      </c>
      <c r="I2392" t="s">
        <v>5425</v>
      </c>
      <c r="J2392" s="1" t="str">
        <f>HYPERLINK("https://zfin.org/ZDB-GENE-030131-8898")</f>
        <v>https://zfin.org/ZDB-GENE-030131-8898</v>
      </c>
      <c r="K2392" t="s">
        <v>5427</v>
      </c>
    </row>
    <row r="2393" spans="1:11" x14ac:dyDescent="0.2">
      <c r="A2393">
        <v>3.4271537762584798E-13</v>
      </c>
      <c r="B2393">
        <v>-1.1958200939489101</v>
      </c>
      <c r="C2393">
        <v>0.27800000000000002</v>
      </c>
      <c r="D2393">
        <v>0.65500000000000003</v>
      </c>
      <c r="E2393">
        <v>5.306262191781E-9</v>
      </c>
      <c r="F2393">
        <v>4</v>
      </c>
      <c r="G2393" t="s">
        <v>2389</v>
      </c>
      <c r="H2393" t="s">
        <v>2390</v>
      </c>
      <c r="I2393" t="s">
        <v>2389</v>
      </c>
      <c r="J2393" s="1" t="str">
        <f>HYPERLINK("https://zfin.org/ZDB-GENE-050308-1")</f>
        <v>https://zfin.org/ZDB-GENE-050308-1</v>
      </c>
      <c r="K2393" t="s">
        <v>2391</v>
      </c>
    </row>
    <row r="2394" spans="1:11" x14ac:dyDescent="0.2">
      <c r="A2394">
        <v>3.4868718448034501E-13</v>
      </c>
      <c r="B2394">
        <v>0.44577287595565401</v>
      </c>
      <c r="C2394">
        <v>0.98699999999999999</v>
      </c>
      <c r="D2394">
        <v>0.96899999999999997</v>
      </c>
      <c r="E2394">
        <v>5.3987236773091897E-9</v>
      </c>
      <c r="F2394">
        <v>4</v>
      </c>
      <c r="G2394" t="s">
        <v>1201</v>
      </c>
      <c r="H2394" t="s">
        <v>1202</v>
      </c>
      <c r="I2394" t="s">
        <v>1201</v>
      </c>
      <c r="J2394" s="1" t="str">
        <f>HYPERLINK("https://zfin.org/ZDB-GENE-040801-167")</f>
        <v>https://zfin.org/ZDB-GENE-040801-167</v>
      </c>
      <c r="K2394" t="s">
        <v>1203</v>
      </c>
    </row>
    <row r="2395" spans="1:11" x14ac:dyDescent="0.2">
      <c r="A2395">
        <v>3.8251447062452199E-13</v>
      </c>
      <c r="B2395">
        <v>0.77473664622382399</v>
      </c>
      <c r="C2395">
        <v>0.56999999999999995</v>
      </c>
      <c r="D2395">
        <v>0.23699999999999999</v>
      </c>
      <c r="E2395">
        <v>5.9224715486794804E-9</v>
      </c>
      <c r="F2395">
        <v>4</v>
      </c>
      <c r="G2395" t="s">
        <v>5428</v>
      </c>
      <c r="H2395" t="s">
        <v>5429</v>
      </c>
      <c r="I2395" t="s">
        <v>5428</v>
      </c>
      <c r="J2395" s="1" t="str">
        <f>HYPERLINK("https://zfin.org/ZDB-GENE-040426-1936")</f>
        <v>https://zfin.org/ZDB-GENE-040426-1936</v>
      </c>
      <c r="K2395" t="s">
        <v>5430</v>
      </c>
    </row>
    <row r="2396" spans="1:11" x14ac:dyDescent="0.2">
      <c r="A2396">
        <v>3.9857285983413499E-13</v>
      </c>
      <c r="B2396">
        <v>0.43542526004026899</v>
      </c>
      <c r="C2396">
        <v>0.96199999999999997</v>
      </c>
      <c r="D2396">
        <v>0.95599999999999996</v>
      </c>
      <c r="E2396">
        <v>6.1711035888119201E-9</v>
      </c>
      <c r="F2396">
        <v>4</v>
      </c>
      <c r="G2396" t="s">
        <v>1994</v>
      </c>
      <c r="H2396" t="s">
        <v>1995</v>
      </c>
      <c r="I2396" t="s">
        <v>1994</v>
      </c>
      <c r="J2396" s="1" t="str">
        <f>HYPERLINK("https://zfin.org/ZDB-GENE-040426-1071")</f>
        <v>https://zfin.org/ZDB-GENE-040426-1071</v>
      </c>
      <c r="K2396" t="s">
        <v>1996</v>
      </c>
    </row>
    <row r="2397" spans="1:11" x14ac:dyDescent="0.2">
      <c r="A2397">
        <v>4.1055856221248799E-13</v>
      </c>
      <c r="B2397">
        <v>0.60805182173546302</v>
      </c>
      <c r="C2397">
        <v>0.55700000000000005</v>
      </c>
      <c r="D2397">
        <v>0.21199999999999999</v>
      </c>
      <c r="E2397">
        <v>6.3566782187359596E-9</v>
      </c>
      <c r="F2397">
        <v>4</v>
      </c>
      <c r="G2397" t="s">
        <v>5431</v>
      </c>
      <c r="H2397" t="s">
        <v>5432</v>
      </c>
      <c r="I2397" t="s">
        <v>5431</v>
      </c>
      <c r="J2397" s="1" t="str">
        <f>HYPERLINK("https://zfin.org/ZDB-GENE-030131-7452")</f>
        <v>https://zfin.org/ZDB-GENE-030131-7452</v>
      </c>
      <c r="K2397" t="s">
        <v>5433</v>
      </c>
    </row>
    <row r="2398" spans="1:11" x14ac:dyDescent="0.2">
      <c r="A2398">
        <v>4.2606464649794298E-13</v>
      </c>
      <c r="B2398">
        <v>0.91402564854392399</v>
      </c>
      <c r="C2398">
        <v>0.34200000000000003</v>
      </c>
      <c r="D2398">
        <v>9.1999999999999998E-2</v>
      </c>
      <c r="E2398">
        <v>6.5967589217276404E-9</v>
      </c>
      <c r="F2398">
        <v>4</v>
      </c>
      <c r="G2398" t="s">
        <v>4346</v>
      </c>
      <c r="H2398" t="s">
        <v>4347</v>
      </c>
      <c r="I2398" t="s">
        <v>4346</v>
      </c>
      <c r="J2398" s="1" t="str">
        <f>HYPERLINK("https://zfin.org/")</f>
        <v>https://zfin.org/</v>
      </c>
      <c r="K2398" t="s">
        <v>4348</v>
      </c>
    </row>
    <row r="2399" spans="1:11" x14ac:dyDescent="0.2">
      <c r="A2399">
        <v>4.5544256002982603E-13</v>
      </c>
      <c r="B2399">
        <v>0.77193699201215005</v>
      </c>
      <c r="C2399">
        <v>0.75900000000000001</v>
      </c>
      <c r="D2399">
        <v>0.436</v>
      </c>
      <c r="E2399">
        <v>7.0516171569417903E-9</v>
      </c>
      <c r="F2399">
        <v>4</v>
      </c>
      <c r="G2399" t="s">
        <v>5434</v>
      </c>
      <c r="H2399" t="s">
        <v>5435</v>
      </c>
      <c r="I2399" t="s">
        <v>5434</v>
      </c>
      <c r="J2399" s="1" t="str">
        <f>HYPERLINK("https://zfin.org/ZDB-GENE-070410-36")</f>
        <v>https://zfin.org/ZDB-GENE-070410-36</v>
      </c>
      <c r="K2399" t="s">
        <v>5436</v>
      </c>
    </row>
    <row r="2400" spans="1:11" x14ac:dyDescent="0.2">
      <c r="A2400">
        <v>4.8633976169129503E-13</v>
      </c>
      <c r="B2400">
        <v>0.497312833405536</v>
      </c>
      <c r="C2400">
        <v>1</v>
      </c>
      <c r="D2400">
        <v>0.96299999999999997</v>
      </c>
      <c r="E2400">
        <v>7.52999853026632E-9</v>
      </c>
      <c r="F2400">
        <v>4</v>
      </c>
      <c r="G2400" t="s">
        <v>1712</v>
      </c>
      <c r="H2400" t="s">
        <v>1713</v>
      </c>
      <c r="I2400" t="s">
        <v>1712</v>
      </c>
      <c r="J2400" s="1" t="str">
        <f>HYPERLINK("https://zfin.org/ZDB-GENE-030131-8951")</f>
        <v>https://zfin.org/ZDB-GENE-030131-8951</v>
      </c>
      <c r="K2400" t="s">
        <v>1714</v>
      </c>
    </row>
    <row r="2401" spans="1:11" x14ac:dyDescent="0.2">
      <c r="A2401">
        <v>5.0944476042907197E-13</v>
      </c>
      <c r="B2401">
        <v>0.32081345497275299</v>
      </c>
      <c r="C2401">
        <v>0.17699999999999999</v>
      </c>
      <c r="D2401">
        <v>2.5999999999999999E-2</v>
      </c>
      <c r="E2401">
        <v>7.8877332257233204E-9</v>
      </c>
      <c r="F2401">
        <v>4</v>
      </c>
      <c r="G2401" t="s">
        <v>4537</v>
      </c>
      <c r="H2401" t="s">
        <v>4538</v>
      </c>
      <c r="I2401" t="s">
        <v>4537</v>
      </c>
      <c r="J2401" s="1" t="str">
        <f>HYPERLINK("https://zfin.org/ZDB-GENE-040426-1558")</f>
        <v>https://zfin.org/ZDB-GENE-040426-1558</v>
      </c>
      <c r="K2401" t="s">
        <v>4539</v>
      </c>
    </row>
    <row r="2402" spans="1:11" x14ac:dyDescent="0.2">
      <c r="A2402">
        <v>5.2860495081951396E-13</v>
      </c>
      <c r="B2402">
        <v>0.28716693268664101</v>
      </c>
      <c r="C2402">
        <v>0.13900000000000001</v>
      </c>
      <c r="D2402">
        <v>1.6E-2</v>
      </c>
      <c r="E2402">
        <v>8.18439045353853E-9</v>
      </c>
      <c r="F2402">
        <v>4</v>
      </c>
      <c r="G2402" t="s">
        <v>4853</v>
      </c>
      <c r="H2402" t="s">
        <v>4854</v>
      </c>
      <c r="I2402" t="s">
        <v>4853</v>
      </c>
      <c r="J2402" s="1" t="str">
        <f>HYPERLINK("https://zfin.org/ZDB-GENE-040426-2710")</f>
        <v>https://zfin.org/ZDB-GENE-040426-2710</v>
      </c>
      <c r="K2402" t="s">
        <v>4855</v>
      </c>
    </row>
    <row r="2403" spans="1:11" x14ac:dyDescent="0.2">
      <c r="A2403">
        <v>5.5565994344265398E-13</v>
      </c>
      <c r="B2403">
        <v>0.44749130607447501</v>
      </c>
      <c r="C2403">
        <v>0.96199999999999997</v>
      </c>
      <c r="D2403">
        <v>0.90600000000000003</v>
      </c>
      <c r="E2403">
        <v>8.6032829043226095E-9</v>
      </c>
      <c r="F2403">
        <v>4</v>
      </c>
      <c r="G2403" t="s">
        <v>1931</v>
      </c>
      <c r="H2403" t="s">
        <v>1932</v>
      </c>
      <c r="I2403" t="s">
        <v>1931</v>
      </c>
      <c r="J2403" s="1" t="str">
        <f>HYPERLINK("https://zfin.org/ZDB-GENE-030131-4343")</f>
        <v>https://zfin.org/ZDB-GENE-030131-4343</v>
      </c>
      <c r="K2403" t="s">
        <v>1933</v>
      </c>
    </row>
    <row r="2404" spans="1:11" x14ac:dyDescent="0.2">
      <c r="A2404">
        <v>5.8349188407858505E-13</v>
      </c>
      <c r="B2404">
        <v>0.56062561042188097</v>
      </c>
      <c r="C2404">
        <v>0.88600000000000001</v>
      </c>
      <c r="D2404">
        <v>0.70399999999999996</v>
      </c>
      <c r="E2404">
        <v>9.0342048411887298E-9</v>
      </c>
      <c r="F2404">
        <v>4</v>
      </c>
      <c r="G2404" t="s">
        <v>2904</v>
      </c>
      <c r="H2404" t="s">
        <v>2905</v>
      </c>
      <c r="I2404" t="s">
        <v>2904</v>
      </c>
      <c r="J2404" s="1" t="str">
        <f>HYPERLINK("https://zfin.org/ZDB-GENE-040426-1852")</f>
        <v>https://zfin.org/ZDB-GENE-040426-1852</v>
      </c>
      <c r="K2404" t="s">
        <v>2906</v>
      </c>
    </row>
    <row r="2405" spans="1:11" x14ac:dyDescent="0.2">
      <c r="A2405">
        <v>7.29876934798212E-13</v>
      </c>
      <c r="B2405">
        <v>0.33663130634020899</v>
      </c>
      <c r="C2405">
        <v>0.127</v>
      </c>
      <c r="D2405">
        <v>1.2999999999999999E-2</v>
      </c>
      <c r="E2405">
        <v>1.13006845814807E-8</v>
      </c>
      <c r="F2405">
        <v>4</v>
      </c>
      <c r="G2405" t="s">
        <v>4963</v>
      </c>
      <c r="H2405" t="s">
        <v>4964</v>
      </c>
      <c r="I2405" t="s">
        <v>4963</v>
      </c>
      <c r="J2405" s="1" t="str">
        <f>HYPERLINK("https://zfin.org/ZDB-GENE-030131-731")</f>
        <v>https://zfin.org/ZDB-GENE-030131-731</v>
      </c>
      <c r="K2405" t="s">
        <v>4965</v>
      </c>
    </row>
    <row r="2406" spans="1:11" x14ac:dyDescent="0.2">
      <c r="A2406">
        <v>9.0910915939979004E-13</v>
      </c>
      <c r="B2406">
        <v>0.55856931890826</v>
      </c>
      <c r="C2406">
        <v>0.316</v>
      </c>
      <c r="D2406">
        <v>7.8E-2</v>
      </c>
      <c r="E2406">
        <v>1.4075737114986999E-8</v>
      </c>
      <c r="F2406">
        <v>4</v>
      </c>
      <c r="G2406" t="s">
        <v>4510</v>
      </c>
      <c r="H2406" t="s">
        <v>4511</v>
      </c>
      <c r="I2406" t="s">
        <v>4510</v>
      </c>
      <c r="J2406" s="1" t="str">
        <f>HYPERLINK("https://zfin.org/ZDB-GENE-110404-2")</f>
        <v>https://zfin.org/ZDB-GENE-110404-2</v>
      </c>
      <c r="K2406" t="s">
        <v>4512</v>
      </c>
    </row>
    <row r="2407" spans="1:11" x14ac:dyDescent="0.2">
      <c r="A2407">
        <v>9.1328722650205301E-13</v>
      </c>
      <c r="B2407">
        <v>0.43024612948411201</v>
      </c>
      <c r="C2407">
        <v>0.27800000000000002</v>
      </c>
      <c r="D2407">
        <v>0.06</v>
      </c>
      <c r="E2407">
        <v>1.41404261279313E-8</v>
      </c>
      <c r="F2407">
        <v>4</v>
      </c>
      <c r="G2407" t="s">
        <v>5437</v>
      </c>
      <c r="H2407" t="s">
        <v>5438</v>
      </c>
      <c r="I2407" t="s">
        <v>5437</v>
      </c>
      <c r="J2407" s="1" t="str">
        <f>HYPERLINK("https://zfin.org/ZDB-GENE-081104-383")</f>
        <v>https://zfin.org/ZDB-GENE-081104-383</v>
      </c>
      <c r="K2407" t="s">
        <v>5439</v>
      </c>
    </row>
    <row r="2408" spans="1:11" x14ac:dyDescent="0.2">
      <c r="A2408">
        <v>9.2035770026804308E-13</v>
      </c>
      <c r="B2408">
        <v>0.88184922828784496</v>
      </c>
      <c r="C2408">
        <v>0.60799999999999998</v>
      </c>
      <c r="D2408">
        <v>0.28499999999999998</v>
      </c>
      <c r="E2408">
        <v>1.42498982732501E-8</v>
      </c>
      <c r="F2408">
        <v>4</v>
      </c>
      <c r="G2408" t="s">
        <v>4832</v>
      </c>
      <c r="H2408" t="s">
        <v>4833</v>
      </c>
      <c r="I2408" t="s">
        <v>4832</v>
      </c>
      <c r="J2408" s="1" t="str">
        <f>HYPERLINK("https://zfin.org/ZDB-GENE-030131-461")</f>
        <v>https://zfin.org/ZDB-GENE-030131-461</v>
      </c>
      <c r="K2408" t="s">
        <v>4834</v>
      </c>
    </row>
    <row r="2409" spans="1:11" x14ac:dyDescent="0.2">
      <c r="A2409">
        <v>9.2610778631135894E-13</v>
      </c>
      <c r="B2409">
        <v>0.45638213329213101</v>
      </c>
      <c r="C2409">
        <v>0.97499999999999998</v>
      </c>
      <c r="D2409">
        <v>0.88400000000000001</v>
      </c>
      <c r="E2409">
        <v>1.4338926855458801E-8</v>
      </c>
      <c r="F2409">
        <v>4</v>
      </c>
      <c r="G2409" t="s">
        <v>2524</v>
      </c>
      <c r="H2409" t="s">
        <v>2525</v>
      </c>
      <c r="I2409" t="s">
        <v>2524</v>
      </c>
      <c r="J2409" s="1" t="str">
        <f>HYPERLINK("https://zfin.org/ZDB-GENE-030131-10018")</f>
        <v>https://zfin.org/ZDB-GENE-030131-10018</v>
      </c>
      <c r="K2409" t="s">
        <v>2526</v>
      </c>
    </row>
    <row r="2410" spans="1:11" x14ac:dyDescent="0.2">
      <c r="A2410">
        <v>9.6804314956990201E-13</v>
      </c>
      <c r="B2410">
        <v>0.43247609033814499</v>
      </c>
      <c r="C2410">
        <v>0.16500000000000001</v>
      </c>
      <c r="D2410">
        <v>2.3E-2</v>
      </c>
      <c r="E2410">
        <v>1.49882120847908E-8</v>
      </c>
      <c r="F2410">
        <v>4</v>
      </c>
      <c r="G2410" t="s">
        <v>4516</v>
      </c>
      <c r="H2410" t="s">
        <v>4517</v>
      </c>
      <c r="I2410" t="s">
        <v>4516</v>
      </c>
      <c r="J2410" s="1" t="str">
        <f>HYPERLINK("https://zfin.org/ZDB-GENE-050522-103")</f>
        <v>https://zfin.org/ZDB-GENE-050522-103</v>
      </c>
      <c r="K2410" t="s">
        <v>4518</v>
      </c>
    </row>
    <row r="2411" spans="1:11" x14ac:dyDescent="0.2">
      <c r="A2411">
        <v>9.8429884711189394E-13</v>
      </c>
      <c r="B2411">
        <v>0.71664103514537303</v>
      </c>
      <c r="C2411">
        <v>0.70899999999999996</v>
      </c>
      <c r="D2411">
        <v>0.35199999999999998</v>
      </c>
      <c r="E2411">
        <v>1.52398990498335E-8</v>
      </c>
      <c r="F2411">
        <v>4</v>
      </c>
      <c r="G2411" t="s">
        <v>5440</v>
      </c>
      <c r="H2411" t="s">
        <v>5441</v>
      </c>
      <c r="I2411" t="s">
        <v>5440</v>
      </c>
      <c r="J2411" s="1" t="str">
        <f>HYPERLINK("https://zfin.org/ZDB-GENE-041007-4")</f>
        <v>https://zfin.org/ZDB-GENE-041007-4</v>
      </c>
      <c r="K2411" t="s">
        <v>5442</v>
      </c>
    </row>
    <row r="2412" spans="1:11" x14ac:dyDescent="0.2">
      <c r="A2412">
        <v>1.18455429765537E-12</v>
      </c>
      <c r="B2412">
        <v>0.43469593697032799</v>
      </c>
      <c r="C2412">
        <v>0.97499999999999998</v>
      </c>
      <c r="D2412">
        <v>0.97399999999999998</v>
      </c>
      <c r="E2412">
        <v>1.8340454190598E-8</v>
      </c>
      <c r="F2412">
        <v>4</v>
      </c>
      <c r="G2412" t="s">
        <v>1360</v>
      </c>
      <c r="H2412" t="s">
        <v>1361</v>
      </c>
      <c r="I2412" t="s">
        <v>1360</v>
      </c>
      <c r="J2412" s="1" t="str">
        <f>HYPERLINK("https://zfin.org/ZDB-GENE-030131-8708")</f>
        <v>https://zfin.org/ZDB-GENE-030131-8708</v>
      </c>
      <c r="K2412" t="s">
        <v>1362</v>
      </c>
    </row>
    <row r="2413" spans="1:11" x14ac:dyDescent="0.2">
      <c r="A2413">
        <v>1.18625072542694E-12</v>
      </c>
      <c r="B2413">
        <v>0.73583549470180298</v>
      </c>
      <c r="C2413">
        <v>0.26600000000000001</v>
      </c>
      <c r="D2413">
        <v>0.06</v>
      </c>
      <c r="E2413">
        <v>1.83667199817852E-8</v>
      </c>
      <c r="F2413">
        <v>4</v>
      </c>
      <c r="G2413" t="s">
        <v>4498</v>
      </c>
      <c r="H2413" t="s">
        <v>4499</v>
      </c>
      <c r="I2413" t="s">
        <v>4498</v>
      </c>
      <c r="J2413" s="1" t="str">
        <f>HYPERLINK("https://zfin.org/ZDB-GENE-030131-9686")</f>
        <v>https://zfin.org/ZDB-GENE-030131-9686</v>
      </c>
      <c r="K2413" t="s">
        <v>4500</v>
      </c>
    </row>
    <row r="2414" spans="1:11" x14ac:dyDescent="0.2">
      <c r="A2414">
        <v>1.2787373097722E-12</v>
      </c>
      <c r="B2414">
        <v>0.44110342002696401</v>
      </c>
      <c r="C2414">
        <v>0.32900000000000001</v>
      </c>
      <c r="D2414">
        <v>8.3000000000000004E-2</v>
      </c>
      <c r="E2414">
        <v>1.9798689767203001E-8</v>
      </c>
      <c r="F2414">
        <v>4</v>
      </c>
      <c r="G2414" t="s">
        <v>4525</v>
      </c>
      <c r="H2414" t="s">
        <v>4526</v>
      </c>
      <c r="I2414" t="s">
        <v>4525</v>
      </c>
      <c r="J2414" s="1" t="str">
        <f>HYPERLINK("https://zfin.org/ZDB-GENE-040824-3")</f>
        <v>https://zfin.org/ZDB-GENE-040824-3</v>
      </c>
      <c r="K2414" t="s">
        <v>4527</v>
      </c>
    </row>
    <row r="2415" spans="1:11" x14ac:dyDescent="0.2">
      <c r="A2415">
        <v>1.31851322743618E-12</v>
      </c>
      <c r="B2415">
        <v>0.47195386746356099</v>
      </c>
      <c r="C2415">
        <v>0.96199999999999997</v>
      </c>
      <c r="D2415">
        <v>0.92600000000000005</v>
      </c>
      <c r="E2415">
        <v>2.0414540300394402E-8</v>
      </c>
      <c r="F2415">
        <v>4</v>
      </c>
      <c r="G2415" t="s">
        <v>1742</v>
      </c>
      <c r="H2415" t="s">
        <v>1743</v>
      </c>
      <c r="I2415" t="s">
        <v>1742</v>
      </c>
      <c r="J2415" s="1" t="str">
        <f>HYPERLINK("https://zfin.org/ZDB-GENE-031007-1")</f>
        <v>https://zfin.org/ZDB-GENE-031007-1</v>
      </c>
      <c r="K2415" t="s">
        <v>1744</v>
      </c>
    </row>
    <row r="2416" spans="1:11" x14ac:dyDescent="0.2">
      <c r="A2416">
        <v>1.45314785649417E-12</v>
      </c>
      <c r="B2416">
        <v>0.42226334013821398</v>
      </c>
      <c r="C2416">
        <v>1</v>
      </c>
      <c r="D2416">
        <v>0.95899999999999996</v>
      </c>
      <c r="E2416">
        <v>2.2499088262099202E-8</v>
      </c>
      <c r="F2416">
        <v>4</v>
      </c>
      <c r="G2416" t="s">
        <v>1775</v>
      </c>
      <c r="H2416" t="s">
        <v>1776</v>
      </c>
      <c r="I2416" t="s">
        <v>1775</v>
      </c>
      <c r="J2416" s="1" t="str">
        <f>HYPERLINK("https://zfin.org/ZDB-GENE-040622-5")</f>
        <v>https://zfin.org/ZDB-GENE-040622-5</v>
      </c>
      <c r="K2416" t="s">
        <v>1777</v>
      </c>
    </row>
    <row r="2417" spans="1:11" x14ac:dyDescent="0.2">
      <c r="A2417">
        <v>1.4682188455688699E-12</v>
      </c>
      <c r="B2417">
        <v>0.50991286645506195</v>
      </c>
      <c r="C2417">
        <v>0.17699999999999999</v>
      </c>
      <c r="D2417">
        <v>2.7E-2</v>
      </c>
      <c r="E2417">
        <v>2.2732432385942701E-8</v>
      </c>
      <c r="F2417">
        <v>4</v>
      </c>
      <c r="G2417" t="s">
        <v>4459</v>
      </c>
      <c r="H2417" t="s">
        <v>4460</v>
      </c>
      <c r="I2417" t="s">
        <v>4459</v>
      </c>
      <c r="J2417" s="1" t="str">
        <f>HYPERLINK("https://zfin.org/ZDB-GENE-050208-508")</f>
        <v>https://zfin.org/ZDB-GENE-050208-508</v>
      </c>
      <c r="K2417" t="s">
        <v>4461</v>
      </c>
    </row>
    <row r="2418" spans="1:11" x14ac:dyDescent="0.2">
      <c r="A2418">
        <v>2.06130706586032E-12</v>
      </c>
      <c r="B2418">
        <v>0.627078842698789</v>
      </c>
      <c r="C2418">
        <v>0.91100000000000003</v>
      </c>
      <c r="D2418">
        <v>0.73199999999999998</v>
      </c>
      <c r="E2418">
        <v>3.1915217300715402E-8</v>
      </c>
      <c r="F2418">
        <v>4</v>
      </c>
      <c r="G2418" t="s">
        <v>5092</v>
      </c>
      <c r="H2418" t="s">
        <v>5093</v>
      </c>
      <c r="I2418" t="s">
        <v>5092</v>
      </c>
      <c r="J2418" s="1" t="str">
        <f>HYPERLINK("https://zfin.org/ZDB-GENE-030131-6154")</f>
        <v>https://zfin.org/ZDB-GENE-030131-6154</v>
      </c>
      <c r="K2418" t="s">
        <v>5094</v>
      </c>
    </row>
    <row r="2419" spans="1:11" x14ac:dyDescent="0.2">
      <c r="A2419">
        <v>2.0633174629570301E-12</v>
      </c>
      <c r="B2419">
        <v>0.26568419608643401</v>
      </c>
      <c r="C2419">
        <v>0.13900000000000001</v>
      </c>
      <c r="D2419">
        <v>1.7000000000000001E-2</v>
      </c>
      <c r="E2419">
        <v>3.1946344278963701E-8</v>
      </c>
      <c r="F2419">
        <v>4</v>
      </c>
      <c r="G2419" t="s">
        <v>3603</v>
      </c>
      <c r="H2419" t="s">
        <v>3604</v>
      </c>
      <c r="I2419" t="s">
        <v>3603</v>
      </c>
      <c r="J2419" s="1" t="str">
        <f>HYPERLINK("https://zfin.org/ZDB-GENE-050913-90")</f>
        <v>https://zfin.org/ZDB-GENE-050913-90</v>
      </c>
      <c r="K2419" t="s">
        <v>3605</v>
      </c>
    </row>
    <row r="2420" spans="1:11" x14ac:dyDescent="0.2">
      <c r="A2420">
        <v>2.3477119112043599E-12</v>
      </c>
      <c r="B2420">
        <v>0.50560456862406999</v>
      </c>
      <c r="C2420">
        <v>0.93700000000000006</v>
      </c>
      <c r="D2420">
        <v>0.871</v>
      </c>
      <c r="E2420">
        <v>3.6349623521177103E-8</v>
      </c>
      <c r="F2420">
        <v>4</v>
      </c>
      <c r="G2420" t="s">
        <v>1898</v>
      </c>
      <c r="H2420" t="s">
        <v>1899</v>
      </c>
      <c r="I2420" t="s">
        <v>1898</v>
      </c>
      <c r="J2420" s="1" t="str">
        <f>HYPERLINK("https://zfin.org/ZDB-GENE-030131-618")</f>
        <v>https://zfin.org/ZDB-GENE-030131-618</v>
      </c>
      <c r="K2420" t="s">
        <v>1900</v>
      </c>
    </row>
    <row r="2421" spans="1:11" x14ac:dyDescent="0.2">
      <c r="A2421">
        <v>2.4695536453290401E-12</v>
      </c>
      <c r="B2421">
        <v>-1.0378138860277399</v>
      </c>
      <c r="C2421">
        <v>0.34200000000000003</v>
      </c>
      <c r="D2421">
        <v>0.66100000000000003</v>
      </c>
      <c r="E2421">
        <v>3.8236099090629601E-8</v>
      </c>
      <c r="F2421">
        <v>4</v>
      </c>
      <c r="G2421" t="s">
        <v>2657</v>
      </c>
      <c r="H2421" t="s">
        <v>2658</v>
      </c>
      <c r="I2421" t="s">
        <v>2657</v>
      </c>
      <c r="J2421" s="1" t="str">
        <f>HYPERLINK("https://zfin.org/ZDB-GENE-000208-17")</f>
        <v>https://zfin.org/ZDB-GENE-000208-17</v>
      </c>
      <c r="K2421" t="s">
        <v>2659</v>
      </c>
    </row>
    <row r="2422" spans="1:11" x14ac:dyDescent="0.2">
      <c r="A2422">
        <v>2.59360092822726E-12</v>
      </c>
      <c r="B2422">
        <v>0.45185932867998302</v>
      </c>
      <c r="C2422">
        <v>0.97499999999999998</v>
      </c>
      <c r="D2422">
        <v>0.90900000000000003</v>
      </c>
      <c r="E2422">
        <v>4.0156723171742701E-8</v>
      </c>
      <c r="F2422">
        <v>4</v>
      </c>
      <c r="G2422" t="s">
        <v>2141</v>
      </c>
      <c r="H2422" t="s">
        <v>2142</v>
      </c>
      <c r="I2422" t="s">
        <v>2141</v>
      </c>
      <c r="J2422" s="1" t="str">
        <f>HYPERLINK("https://zfin.org/ZDB-GENE-030131-8512")</f>
        <v>https://zfin.org/ZDB-GENE-030131-8512</v>
      </c>
      <c r="K2422" t="s">
        <v>2143</v>
      </c>
    </row>
    <row r="2423" spans="1:11" x14ac:dyDescent="0.2">
      <c r="A2423">
        <v>2.7169841354735202E-12</v>
      </c>
      <c r="B2423">
        <v>0.44525778467180199</v>
      </c>
      <c r="C2423">
        <v>0.96199999999999997</v>
      </c>
      <c r="D2423">
        <v>0.92800000000000005</v>
      </c>
      <c r="E2423">
        <v>4.2067065369536599E-8</v>
      </c>
      <c r="F2423">
        <v>4</v>
      </c>
      <c r="G2423" t="s">
        <v>1733</v>
      </c>
      <c r="H2423" t="s">
        <v>1734</v>
      </c>
      <c r="I2423" t="s">
        <v>1733</v>
      </c>
      <c r="J2423" s="1" t="str">
        <f>HYPERLINK("https://zfin.org/ZDB-GENE-030131-9184")</f>
        <v>https://zfin.org/ZDB-GENE-030131-9184</v>
      </c>
      <c r="K2423" t="s">
        <v>1735</v>
      </c>
    </row>
    <row r="2424" spans="1:11" x14ac:dyDescent="0.2">
      <c r="A2424">
        <v>2.78746805405091E-12</v>
      </c>
      <c r="B2424">
        <v>0.471623488552671</v>
      </c>
      <c r="C2424">
        <v>0.40500000000000003</v>
      </c>
      <c r="D2424">
        <v>0.122</v>
      </c>
      <c r="E2424">
        <v>4.3158367880870202E-8</v>
      </c>
      <c r="F2424">
        <v>4</v>
      </c>
      <c r="G2424" t="s">
        <v>5443</v>
      </c>
      <c r="H2424" t="s">
        <v>5444</v>
      </c>
      <c r="I2424" t="s">
        <v>5443</v>
      </c>
      <c r="J2424" s="1" t="str">
        <f>HYPERLINK("https://zfin.org/ZDB-GENE-060518-1")</f>
        <v>https://zfin.org/ZDB-GENE-060518-1</v>
      </c>
      <c r="K2424" t="s">
        <v>5445</v>
      </c>
    </row>
    <row r="2425" spans="1:11" x14ac:dyDescent="0.2">
      <c r="A2425">
        <v>2.8306330422989301E-12</v>
      </c>
      <c r="B2425">
        <v>0.422428749960229</v>
      </c>
      <c r="C2425">
        <v>0.34200000000000003</v>
      </c>
      <c r="D2425">
        <v>9.1999999999999998E-2</v>
      </c>
      <c r="E2425">
        <v>4.3826691393914297E-8</v>
      </c>
      <c r="F2425">
        <v>4</v>
      </c>
      <c r="G2425" t="s">
        <v>4127</v>
      </c>
      <c r="H2425" t="s">
        <v>4128</v>
      </c>
      <c r="I2425" t="s">
        <v>4127</v>
      </c>
      <c r="J2425" s="1" t="str">
        <f>HYPERLINK("https://zfin.org/ZDB-GENE-040718-47")</f>
        <v>https://zfin.org/ZDB-GENE-040718-47</v>
      </c>
      <c r="K2425" t="s">
        <v>4129</v>
      </c>
    </row>
    <row r="2426" spans="1:11" x14ac:dyDescent="0.2">
      <c r="A2426">
        <v>3.40360289196853E-12</v>
      </c>
      <c r="B2426">
        <v>0.50533852846403104</v>
      </c>
      <c r="C2426">
        <v>0.97499999999999998</v>
      </c>
      <c r="D2426">
        <v>0.95399999999999996</v>
      </c>
      <c r="E2426">
        <v>5.2697983576348697E-8</v>
      </c>
      <c r="F2426">
        <v>4</v>
      </c>
      <c r="G2426" t="s">
        <v>1402</v>
      </c>
      <c r="H2426" t="s">
        <v>1403</v>
      </c>
      <c r="I2426" t="s">
        <v>1402</v>
      </c>
      <c r="J2426" s="1" t="str">
        <f>HYPERLINK("https://zfin.org/ZDB-GENE-030131-8752")</f>
        <v>https://zfin.org/ZDB-GENE-030131-8752</v>
      </c>
      <c r="K2426" t="s">
        <v>1404</v>
      </c>
    </row>
    <row r="2427" spans="1:11" x14ac:dyDescent="0.2">
      <c r="A2427">
        <v>3.48895734895275E-12</v>
      </c>
      <c r="B2427">
        <v>0.70728286935275797</v>
      </c>
      <c r="C2427">
        <v>0.38</v>
      </c>
      <c r="D2427">
        <v>0.11700000000000001</v>
      </c>
      <c r="E2427">
        <v>5.4019526633835401E-8</v>
      </c>
      <c r="F2427">
        <v>4</v>
      </c>
      <c r="G2427" t="s">
        <v>4349</v>
      </c>
      <c r="H2427" t="s">
        <v>4350</v>
      </c>
      <c r="I2427" t="s">
        <v>4349</v>
      </c>
      <c r="J2427" s="1" t="str">
        <f>HYPERLINK("https://zfin.org/ZDB-GENE-141212-376")</f>
        <v>https://zfin.org/ZDB-GENE-141212-376</v>
      </c>
      <c r="K2427" t="s">
        <v>4351</v>
      </c>
    </row>
    <row r="2428" spans="1:11" x14ac:dyDescent="0.2">
      <c r="A2428">
        <v>3.68092068078306E-12</v>
      </c>
      <c r="B2428">
        <v>0.45009069801695001</v>
      </c>
      <c r="C2428">
        <v>0.22800000000000001</v>
      </c>
      <c r="D2428">
        <v>4.4999999999999998E-2</v>
      </c>
      <c r="E2428">
        <v>5.6991694900564E-8</v>
      </c>
      <c r="F2428">
        <v>4</v>
      </c>
      <c r="G2428" t="s">
        <v>4432</v>
      </c>
      <c r="H2428" t="s">
        <v>4433</v>
      </c>
      <c r="I2428" t="s">
        <v>4432</v>
      </c>
      <c r="J2428" s="1" t="str">
        <f>HYPERLINK("https://zfin.org/ZDB-GENE-040426-2286")</f>
        <v>https://zfin.org/ZDB-GENE-040426-2286</v>
      </c>
      <c r="K2428" t="s">
        <v>4434</v>
      </c>
    </row>
    <row r="2429" spans="1:11" x14ac:dyDescent="0.2">
      <c r="A2429">
        <v>3.8155651731432898E-12</v>
      </c>
      <c r="B2429">
        <v>0.317298227271893</v>
      </c>
      <c r="C2429">
        <v>0.20300000000000001</v>
      </c>
      <c r="D2429">
        <v>3.5000000000000003E-2</v>
      </c>
      <c r="E2429">
        <v>5.9076395575777498E-8</v>
      </c>
      <c r="F2429">
        <v>4</v>
      </c>
      <c r="G2429" t="s">
        <v>5446</v>
      </c>
      <c r="H2429" t="s">
        <v>5447</v>
      </c>
      <c r="I2429" t="s">
        <v>5446</v>
      </c>
      <c r="J2429" s="1" t="str">
        <f>HYPERLINK("https://zfin.org/ZDB-GENE-030131-5864")</f>
        <v>https://zfin.org/ZDB-GENE-030131-5864</v>
      </c>
      <c r="K2429" t="s">
        <v>5448</v>
      </c>
    </row>
    <row r="2430" spans="1:11" x14ac:dyDescent="0.2">
      <c r="A2430">
        <v>4.2674717465453298E-12</v>
      </c>
      <c r="B2430">
        <v>0.44373864025587101</v>
      </c>
      <c r="C2430">
        <v>0.19</v>
      </c>
      <c r="D2430">
        <v>3.3000000000000002E-2</v>
      </c>
      <c r="E2430">
        <v>6.6073265051761396E-8</v>
      </c>
      <c r="F2430">
        <v>4</v>
      </c>
      <c r="G2430" t="s">
        <v>5449</v>
      </c>
      <c r="H2430" t="s">
        <v>5450</v>
      </c>
      <c r="I2430" t="s">
        <v>5449</v>
      </c>
      <c r="J2430" s="1" t="str">
        <f>HYPERLINK("https://zfin.org/ZDB-GENE-050913-48")</f>
        <v>https://zfin.org/ZDB-GENE-050913-48</v>
      </c>
      <c r="K2430" t="s">
        <v>5451</v>
      </c>
    </row>
    <row r="2431" spans="1:11" x14ac:dyDescent="0.2">
      <c r="A2431">
        <v>4.3007030832115102E-12</v>
      </c>
      <c r="B2431">
        <v>0.39841335468537098</v>
      </c>
      <c r="C2431">
        <v>0.36699999999999999</v>
      </c>
      <c r="D2431">
        <v>0.10199999999999999</v>
      </c>
      <c r="E2431">
        <v>6.6587785837363803E-8</v>
      </c>
      <c r="F2431">
        <v>4</v>
      </c>
      <c r="G2431" t="s">
        <v>5452</v>
      </c>
      <c r="H2431" t="s">
        <v>5453</v>
      </c>
      <c r="I2431" t="s">
        <v>5452</v>
      </c>
      <c r="J2431" s="1" t="str">
        <f>HYPERLINK("https://zfin.org/ZDB-GENE-040625-113")</f>
        <v>https://zfin.org/ZDB-GENE-040625-113</v>
      </c>
      <c r="K2431" t="s">
        <v>5454</v>
      </c>
    </row>
    <row r="2432" spans="1:11" x14ac:dyDescent="0.2">
      <c r="A2432">
        <v>4.4104883280517504E-12</v>
      </c>
      <c r="B2432">
        <v>0.65671784329058502</v>
      </c>
      <c r="C2432">
        <v>0.51900000000000002</v>
      </c>
      <c r="D2432">
        <v>0.20499999999999999</v>
      </c>
      <c r="E2432">
        <v>6.8287590783225205E-8</v>
      </c>
      <c r="F2432">
        <v>4</v>
      </c>
      <c r="G2432" t="s">
        <v>5455</v>
      </c>
      <c r="H2432" t="s">
        <v>5456</v>
      </c>
      <c r="I2432" t="s">
        <v>5455</v>
      </c>
      <c r="J2432" s="1" t="str">
        <f>HYPERLINK("https://zfin.org/ZDB-GENE-030131-533")</f>
        <v>https://zfin.org/ZDB-GENE-030131-533</v>
      </c>
      <c r="K2432" t="s">
        <v>5457</v>
      </c>
    </row>
    <row r="2433" spans="1:11" x14ac:dyDescent="0.2">
      <c r="A2433">
        <v>4.4494719711109E-12</v>
      </c>
      <c r="B2433">
        <v>0.276443528218276</v>
      </c>
      <c r="C2433">
        <v>0.13900000000000001</v>
      </c>
      <c r="D2433">
        <v>1.7000000000000001E-2</v>
      </c>
      <c r="E2433">
        <v>6.8891174528709999E-8</v>
      </c>
      <c r="F2433">
        <v>4</v>
      </c>
      <c r="G2433" t="s">
        <v>5002</v>
      </c>
      <c r="H2433" t="s">
        <v>5003</v>
      </c>
      <c r="I2433" t="s">
        <v>5002</v>
      </c>
      <c r="J2433" s="1" t="str">
        <f>HYPERLINK("https://zfin.org/ZDB-GENE-030131-2976")</f>
        <v>https://zfin.org/ZDB-GENE-030131-2976</v>
      </c>
      <c r="K2433" t="s">
        <v>5004</v>
      </c>
    </row>
    <row r="2434" spans="1:11" x14ac:dyDescent="0.2">
      <c r="A2434">
        <v>5.3893440824005196E-12</v>
      </c>
      <c r="B2434">
        <v>-0.67737820725365905</v>
      </c>
      <c r="C2434">
        <v>0.97499999999999998</v>
      </c>
      <c r="D2434">
        <v>0.99099999999999999</v>
      </c>
      <c r="E2434">
        <v>8.3443214427807301E-8</v>
      </c>
      <c r="F2434">
        <v>4</v>
      </c>
      <c r="G2434" t="s">
        <v>821</v>
      </c>
      <c r="H2434" t="s">
        <v>822</v>
      </c>
      <c r="I2434" t="s">
        <v>821</v>
      </c>
      <c r="J2434" s="1" t="str">
        <f>HYPERLINK("https://zfin.org/ZDB-GENE-010328-2")</f>
        <v>https://zfin.org/ZDB-GENE-010328-2</v>
      </c>
      <c r="K2434" t="s">
        <v>823</v>
      </c>
    </row>
    <row r="2435" spans="1:11" x14ac:dyDescent="0.2">
      <c r="A2435">
        <v>5.46891348461289E-12</v>
      </c>
      <c r="B2435">
        <v>0.53213780034345604</v>
      </c>
      <c r="C2435">
        <v>0.88600000000000001</v>
      </c>
      <c r="D2435">
        <v>0.82299999999999995</v>
      </c>
      <c r="E2435">
        <v>8.4675187482261304E-8</v>
      </c>
      <c r="F2435">
        <v>4</v>
      </c>
      <c r="G2435" t="s">
        <v>2763</v>
      </c>
      <c r="H2435" t="s">
        <v>2764</v>
      </c>
      <c r="I2435" t="s">
        <v>2763</v>
      </c>
      <c r="J2435" s="1" t="str">
        <f>HYPERLINK("https://zfin.org/ZDB-GENE-040426-1706")</f>
        <v>https://zfin.org/ZDB-GENE-040426-1706</v>
      </c>
      <c r="K2435" t="s">
        <v>2765</v>
      </c>
    </row>
    <row r="2436" spans="1:11" x14ac:dyDescent="0.2">
      <c r="A2436">
        <v>5.5002908589638302E-12</v>
      </c>
      <c r="B2436">
        <v>-0.74582612867297104</v>
      </c>
      <c r="C2436">
        <v>1</v>
      </c>
      <c r="D2436">
        <v>1</v>
      </c>
      <c r="E2436">
        <v>8.5161003369337005E-8</v>
      </c>
      <c r="F2436">
        <v>4</v>
      </c>
      <c r="G2436" t="s">
        <v>863</v>
      </c>
      <c r="H2436" t="s">
        <v>864</v>
      </c>
      <c r="I2436" t="s">
        <v>863</v>
      </c>
      <c r="J2436" s="1" t="str">
        <f>HYPERLINK("https://zfin.org/ZDB-GENE-130603-61")</f>
        <v>https://zfin.org/ZDB-GENE-130603-61</v>
      </c>
      <c r="K2436" t="s">
        <v>865</v>
      </c>
    </row>
    <row r="2437" spans="1:11" x14ac:dyDescent="0.2">
      <c r="A2437">
        <v>6.3530744382819497E-12</v>
      </c>
      <c r="B2437">
        <v>-0.82713090969509695</v>
      </c>
      <c r="C2437">
        <v>0.78500000000000003</v>
      </c>
      <c r="D2437">
        <v>0.88</v>
      </c>
      <c r="E2437">
        <v>9.8364651527919398E-8</v>
      </c>
      <c r="F2437">
        <v>4</v>
      </c>
      <c r="G2437" t="s">
        <v>1363</v>
      </c>
      <c r="H2437" t="s">
        <v>1364</v>
      </c>
      <c r="I2437" t="s">
        <v>1363</v>
      </c>
      <c r="J2437" s="1" t="str">
        <f>HYPERLINK("https://zfin.org/ZDB-GENE-031002-9")</f>
        <v>https://zfin.org/ZDB-GENE-031002-9</v>
      </c>
      <c r="K2437" t="s">
        <v>1365</v>
      </c>
    </row>
    <row r="2438" spans="1:11" x14ac:dyDescent="0.2">
      <c r="A2438">
        <v>6.5074960200712201E-12</v>
      </c>
      <c r="B2438">
        <v>0.47019560385689202</v>
      </c>
      <c r="C2438">
        <v>0.53200000000000003</v>
      </c>
      <c r="D2438">
        <v>0.2</v>
      </c>
      <c r="E2438">
        <v>1.00755560878763E-7</v>
      </c>
      <c r="F2438">
        <v>4</v>
      </c>
      <c r="G2438" t="s">
        <v>5259</v>
      </c>
      <c r="H2438" t="s">
        <v>5260</v>
      </c>
      <c r="I2438" t="s">
        <v>5259</v>
      </c>
      <c r="J2438" s="1" t="str">
        <f>HYPERLINK("https://zfin.org/ZDB-GENE-030131-4357")</f>
        <v>https://zfin.org/ZDB-GENE-030131-4357</v>
      </c>
      <c r="K2438" t="s">
        <v>5261</v>
      </c>
    </row>
    <row r="2439" spans="1:11" x14ac:dyDescent="0.2">
      <c r="A2439">
        <v>6.6032607009190004E-12</v>
      </c>
      <c r="B2439">
        <v>0.30457591304474302</v>
      </c>
      <c r="C2439">
        <v>0.17699999999999999</v>
      </c>
      <c r="D2439">
        <v>2.8000000000000001E-2</v>
      </c>
      <c r="E2439">
        <v>1.02238285432329E-7</v>
      </c>
      <c r="F2439">
        <v>4</v>
      </c>
      <c r="G2439" t="s">
        <v>4777</v>
      </c>
      <c r="H2439" t="s">
        <v>4778</v>
      </c>
      <c r="I2439" t="s">
        <v>4777</v>
      </c>
      <c r="J2439" s="1" t="str">
        <f>HYPERLINK("https://zfin.org/ZDB-GENE-990714-15")</f>
        <v>https://zfin.org/ZDB-GENE-990714-15</v>
      </c>
      <c r="K2439" t="s">
        <v>4779</v>
      </c>
    </row>
    <row r="2440" spans="1:11" x14ac:dyDescent="0.2">
      <c r="A2440">
        <v>6.7561728649097798E-12</v>
      </c>
      <c r="B2440">
        <v>0.60002887180910403</v>
      </c>
      <c r="C2440">
        <v>0.94899999999999995</v>
      </c>
      <c r="D2440">
        <v>0.76700000000000002</v>
      </c>
      <c r="E2440">
        <v>1.04605824467398E-7</v>
      </c>
      <c r="F2440">
        <v>4</v>
      </c>
      <c r="G2440" t="s">
        <v>2585</v>
      </c>
      <c r="H2440" t="s">
        <v>2586</v>
      </c>
      <c r="I2440" t="s">
        <v>2585</v>
      </c>
      <c r="J2440" s="1" t="str">
        <f>HYPERLINK("https://zfin.org/ZDB-GENE-030131-5161")</f>
        <v>https://zfin.org/ZDB-GENE-030131-5161</v>
      </c>
      <c r="K2440" t="s">
        <v>2587</v>
      </c>
    </row>
    <row r="2441" spans="1:11" x14ac:dyDescent="0.2">
      <c r="A2441">
        <v>6.8602005440697004E-12</v>
      </c>
      <c r="B2441">
        <v>0.55319344569762197</v>
      </c>
      <c r="C2441">
        <v>0.51900000000000002</v>
      </c>
      <c r="D2441">
        <v>0.19600000000000001</v>
      </c>
      <c r="E2441">
        <v>1.06216485023831E-7</v>
      </c>
      <c r="F2441">
        <v>4</v>
      </c>
      <c r="G2441" t="s">
        <v>5458</v>
      </c>
      <c r="H2441" t="s">
        <v>5459</v>
      </c>
      <c r="I2441" t="s">
        <v>5458</v>
      </c>
      <c r="J2441" s="1" t="str">
        <f>HYPERLINK("https://zfin.org/ZDB-GENE-030131-9687")</f>
        <v>https://zfin.org/ZDB-GENE-030131-9687</v>
      </c>
      <c r="K2441" t="s">
        <v>5460</v>
      </c>
    </row>
    <row r="2442" spans="1:11" x14ac:dyDescent="0.2">
      <c r="A2442">
        <v>6.9512569692241099E-12</v>
      </c>
      <c r="B2442">
        <v>0.300377698797818</v>
      </c>
      <c r="C2442">
        <v>0.16500000000000001</v>
      </c>
      <c r="D2442">
        <v>2.4E-2</v>
      </c>
      <c r="E2442">
        <v>1.07626311654497E-7</v>
      </c>
      <c r="F2442">
        <v>4</v>
      </c>
      <c r="G2442" t="s">
        <v>4390</v>
      </c>
      <c r="H2442" t="s">
        <v>4391</v>
      </c>
      <c r="I2442" t="s">
        <v>4390</v>
      </c>
      <c r="J2442" s="1" t="str">
        <f>HYPERLINK("https://zfin.org/ZDB-GENE-020426-1")</f>
        <v>https://zfin.org/ZDB-GENE-020426-1</v>
      </c>
      <c r="K2442" t="s">
        <v>4392</v>
      </c>
    </row>
    <row r="2443" spans="1:11" x14ac:dyDescent="0.2">
      <c r="A2443">
        <v>7.1348035458877502E-12</v>
      </c>
      <c r="B2443">
        <v>0.56309565390526195</v>
      </c>
      <c r="C2443">
        <v>0.38</v>
      </c>
      <c r="D2443">
        <v>0.114</v>
      </c>
      <c r="E2443">
        <v>1.1046816330098E-7</v>
      </c>
      <c r="F2443">
        <v>4</v>
      </c>
      <c r="G2443" t="s">
        <v>5461</v>
      </c>
      <c r="H2443" t="s">
        <v>5462</v>
      </c>
      <c r="I2443" t="s">
        <v>5461</v>
      </c>
      <c r="J2443" s="1" t="str">
        <f>HYPERLINK("https://zfin.org/ZDB-GENE-030131-9345")</f>
        <v>https://zfin.org/ZDB-GENE-030131-9345</v>
      </c>
      <c r="K2443" t="s">
        <v>5463</v>
      </c>
    </row>
    <row r="2444" spans="1:11" x14ac:dyDescent="0.2">
      <c r="A2444">
        <v>7.2177549356519497E-12</v>
      </c>
      <c r="B2444">
        <v>0.43552621584449502</v>
      </c>
      <c r="C2444">
        <v>0.96199999999999997</v>
      </c>
      <c r="D2444">
        <v>0.93300000000000005</v>
      </c>
      <c r="E2444">
        <v>1.1175249966869901E-7</v>
      </c>
      <c r="F2444">
        <v>4</v>
      </c>
      <c r="G2444" t="s">
        <v>1558</v>
      </c>
      <c r="H2444" t="s">
        <v>1559</v>
      </c>
      <c r="I2444" t="s">
        <v>1558</v>
      </c>
      <c r="J2444" s="1" t="str">
        <f>HYPERLINK("https://zfin.org/ZDB-GENE-040426-1102")</f>
        <v>https://zfin.org/ZDB-GENE-040426-1102</v>
      </c>
      <c r="K2444" t="s">
        <v>1560</v>
      </c>
    </row>
    <row r="2445" spans="1:11" x14ac:dyDescent="0.2">
      <c r="A2445">
        <v>7.5025024458017193E-12</v>
      </c>
      <c r="B2445">
        <v>0.39358166864216998</v>
      </c>
      <c r="C2445">
        <v>0.98699999999999999</v>
      </c>
      <c r="D2445">
        <v>0.95399999999999996</v>
      </c>
      <c r="E2445">
        <v>1.1616124536834801E-7</v>
      </c>
      <c r="F2445">
        <v>4</v>
      </c>
      <c r="G2445" t="s">
        <v>1330</v>
      </c>
      <c r="H2445" t="s">
        <v>1331</v>
      </c>
      <c r="I2445" t="s">
        <v>1330</v>
      </c>
      <c r="J2445" s="1" t="str">
        <f>HYPERLINK("https://zfin.org/ZDB-GENE-040625-52")</f>
        <v>https://zfin.org/ZDB-GENE-040625-52</v>
      </c>
      <c r="K2445" t="s">
        <v>1332</v>
      </c>
    </row>
    <row r="2446" spans="1:11" x14ac:dyDescent="0.2">
      <c r="A2446">
        <v>7.6743669789888402E-12</v>
      </c>
      <c r="B2446">
        <v>-1.46192175419864</v>
      </c>
      <c r="C2446">
        <v>0.68400000000000005</v>
      </c>
      <c r="D2446">
        <v>0.82599999999999996</v>
      </c>
      <c r="E2446">
        <v>1.18822223935684E-7</v>
      </c>
      <c r="F2446">
        <v>4</v>
      </c>
      <c r="G2446" t="s">
        <v>2069</v>
      </c>
      <c r="H2446" t="s">
        <v>2070</v>
      </c>
      <c r="I2446" t="s">
        <v>2069</v>
      </c>
      <c r="J2446" s="1" t="str">
        <f>HYPERLINK("https://zfin.org/ZDB-GENE-030131-12")</f>
        <v>https://zfin.org/ZDB-GENE-030131-12</v>
      </c>
      <c r="K2446" t="s">
        <v>2071</v>
      </c>
    </row>
    <row r="2447" spans="1:11" x14ac:dyDescent="0.2">
      <c r="A2447">
        <v>8.4482824934237504E-12</v>
      </c>
      <c r="B2447">
        <v>0.496507053460021</v>
      </c>
      <c r="C2447">
        <v>0.93700000000000006</v>
      </c>
      <c r="D2447">
        <v>0.81299999999999994</v>
      </c>
      <c r="E2447">
        <v>1.3080475784568E-7</v>
      </c>
      <c r="F2447">
        <v>4</v>
      </c>
      <c r="G2447" t="s">
        <v>1820</v>
      </c>
      <c r="H2447" t="s">
        <v>1821</v>
      </c>
      <c r="I2447" t="s">
        <v>1820</v>
      </c>
      <c r="J2447" s="1" t="str">
        <f>HYPERLINK("https://zfin.org/ZDB-GENE-030410-1")</f>
        <v>https://zfin.org/ZDB-GENE-030410-1</v>
      </c>
      <c r="K2447" t="s">
        <v>1822</v>
      </c>
    </row>
    <row r="2448" spans="1:11" x14ac:dyDescent="0.2">
      <c r="A2448">
        <v>1.03979963130824E-11</v>
      </c>
      <c r="B2448">
        <v>0.30427327054939701</v>
      </c>
      <c r="C2448">
        <v>0.16500000000000001</v>
      </c>
      <c r="D2448">
        <v>2.5000000000000001E-2</v>
      </c>
      <c r="E2448">
        <v>1.6099217691545499E-7</v>
      </c>
      <c r="F2448">
        <v>4</v>
      </c>
      <c r="G2448" t="s">
        <v>4450</v>
      </c>
      <c r="H2448" t="s">
        <v>4451</v>
      </c>
      <c r="I2448" t="s">
        <v>4450</v>
      </c>
      <c r="J2448" s="1" t="str">
        <f>HYPERLINK("https://zfin.org/ZDB-GENE-040718-122")</f>
        <v>https://zfin.org/ZDB-GENE-040718-122</v>
      </c>
      <c r="K2448" t="s">
        <v>4452</v>
      </c>
    </row>
    <row r="2449" spans="1:11" x14ac:dyDescent="0.2">
      <c r="A2449">
        <v>1.0877059402872899E-11</v>
      </c>
      <c r="B2449">
        <v>0.460600546450179</v>
      </c>
      <c r="C2449">
        <v>0.26600000000000001</v>
      </c>
      <c r="D2449">
        <v>6.0999999999999999E-2</v>
      </c>
      <c r="E2449">
        <v>1.6840951073468099E-7</v>
      </c>
      <c r="F2449">
        <v>4</v>
      </c>
      <c r="G2449" t="s">
        <v>4921</v>
      </c>
      <c r="H2449" t="s">
        <v>4922</v>
      </c>
      <c r="I2449" t="s">
        <v>4921</v>
      </c>
      <c r="J2449" s="1" t="str">
        <f>HYPERLINK("https://zfin.org/ZDB-GENE-030131-9544")</f>
        <v>https://zfin.org/ZDB-GENE-030131-9544</v>
      </c>
      <c r="K2449" t="s">
        <v>4923</v>
      </c>
    </row>
    <row r="2450" spans="1:11" x14ac:dyDescent="0.2">
      <c r="A2450">
        <v>1.09661844456224E-11</v>
      </c>
      <c r="B2450">
        <v>0.36881469428260699</v>
      </c>
      <c r="C2450">
        <v>0.26600000000000001</v>
      </c>
      <c r="D2450">
        <v>6.0999999999999999E-2</v>
      </c>
      <c r="E2450">
        <v>1.6978943377157199E-7</v>
      </c>
      <c r="F2450">
        <v>4</v>
      </c>
      <c r="G2450" t="s">
        <v>5464</v>
      </c>
      <c r="H2450" t="s">
        <v>5465</v>
      </c>
      <c r="I2450" t="s">
        <v>5464</v>
      </c>
      <c r="J2450" s="1" t="str">
        <f>HYPERLINK("https://zfin.org/ZDB-GENE-090312-209")</f>
        <v>https://zfin.org/ZDB-GENE-090312-209</v>
      </c>
      <c r="K2450" t="s">
        <v>5466</v>
      </c>
    </row>
    <row r="2451" spans="1:11" x14ac:dyDescent="0.2">
      <c r="A2451">
        <v>1.11941819079374E-11</v>
      </c>
      <c r="B2451">
        <v>0.74534538288407404</v>
      </c>
      <c r="C2451">
        <v>0.41799999999999998</v>
      </c>
      <c r="D2451">
        <v>0.13300000000000001</v>
      </c>
      <c r="E2451">
        <v>1.7331951848059399E-7</v>
      </c>
      <c r="F2451">
        <v>4</v>
      </c>
      <c r="G2451" t="s">
        <v>5467</v>
      </c>
      <c r="H2451" t="s">
        <v>5468</v>
      </c>
      <c r="I2451" t="s">
        <v>5467</v>
      </c>
      <c r="J2451" s="1" t="str">
        <f>HYPERLINK("https://zfin.org/ZDB-GENE-130531-15")</f>
        <v>https://zfin.org/ZDB-GENE-130531-15</v>
      </c>
      <c r="K2451" t="s">
        <v>5469</v>
      </c>
    </row>
    <row r="2452" spans="1:11" x14ac:dyDescent="0.2">
      <c r="A2452">
        <v>1.12630076007487E-11</v>
      </c>
      <c r="B2452">
        <v>-0.61322569588362796</v>
      </c>
      <c r="C2452">
        <v>0.91100000000000003</v>
      </c>
      <c r="D2452">
        <v>0.95599999999999996</v>
      </c>
      <c r="E2452">
        <v>1.7438514668239299E-7</v>
      </c>
      <c r="F2452">
        <v>4</v>
      </c>
      <c r="G2452" t="s">
        <v>2221</v>
      </c>
      <c r="H2452" t="s">
        <v>2222</v>
      </c>
      <c r="I2452" t="s">
        <v>2221</v>
      </c>
      <c r="J2452" s="1" t="str">
        <f>HYPERLINK("https://zfin.org/ZDB-GENE-050208-726")</f>
        <v>https://zfin.org/ZDB-GENE-050208-726</v>
      </c>
      <c r="K2452" t="s">
        <v>2223</v>
      </c>
    </row>
    <row r="2453" spans="1:11" x14ac:dyDescent="0.2">
      <c r="A2453">
        <v>1.1581454870602899E-11</v>
      </c>
      <c r="B2453">
        <v>0.58122343729636905</v>
      </c>
      <c r="C2453">
        <v>0.152</v>
      </c>
      <c r="D2453">
        <v>2.1999999999999999E-2</v>
      </c>
      <c r="E2453">
        <v>1.79315665761545E-7</v>
      </c>
      <c r="F2453">
        <v>4</v>
      </c>
      <c r="G2453" t="s">
        <v>5470</v>
      </c>
      <c r="H2453" t="s">
        <v>5471</v>
      </c>
      <c r="I2453" t="s">
        <v>5470</v>
      </c>
      <c r="J2453" s="1" t="str">
        <f>HYPERLINK("https://zfin.org/ZDB-GENE-041111-308")</f>
        <v>https://zfin.org/ZDB-GENE-041111-308</v>
      </c>
      <c r="K2453" t="s">
        <v>5472</v>
      </c>
    </row>
    <row r="2454" spans="1:11" x14ac:dyDescent="0.2">
      <c r="A2454">
        <v>1.24533910576509E-11</v>
      </c>
      <c r="B2454">
        <v>0.76770914248726796</v>
      </c>
      <c r="C2454">
        <v>0.55700000000000005</v>
      </c>
      <c r="D2454">
        <v>0.246</v>
      </c>
      <c r="E2454">
        <v>1.92815853745609E-7</v>
      </c>
      <c r="F2454">
        <v>4</v>
      </c>
      <c r="G2454" t="s">
        <v>5473</v>
      </c>
      <c r="H2454" t="s">
        <v>5474</v>
      </c>
      <c r="I2454" t="s">
        <v>5473</v>
      </c>
      <c r="J2454" s="1" t="str">
        <f>HYPERLINK("https://zfin.org/ZDB-GENE-000906-2")</f>
        <v>https://zfin.org/ZDB-GENE-000906-2</v>
      </c>
      <c r="K2454" t="s">
        <v>5475</v>
      </c>
    </row>
    <row r="2455" spans="1:11" x14ac:dyDescent="0.2">
      <c r="A2455">
        <v>1.2517724179117101E-11</v>
      </c>
      <c r="B2455">
        <v>0.67105292665091398</v>
      </c>
      <c r="C2455">
        <v>0.65800000000000003</v>
      </c>
      <c r="D2455">
        <v>0.33100000000000002</v>
      </c>
      <c r="E2455">
        <v>1.9381192346527001E-7</v>
      </c>
      <c r="F2455">
        <v>4</v>
      </c>
      <c r="G2455" t="s">
        <v>4175</v>
      </c>
      <c r="H2455" t="s">
        <v>4176</v>
      </c>
      <c r="I2455" t="s">
        <v>4175</v>
      </c>
      <c r="J2455" s="1" t="str">
        <f>HYPERLINK("https://zfin.org/ZDB-GENE-040426-2902")</f>
        <v>https://zfin.org/ZDB-GENE-040426-2902</v>
      </c>
      <c r="K2455" t="s">
        <v>4177</v>
      </c>
    </row>
    <row r="2456" spans="1:11" x14ac:dyDescent="0.2">
      <c r="A2456">
        <v>1.25606949228975E-11</v>
      </c>
      <c r="B2456">
        <v>0.55084449588503204</v>
      </c>
      <c r="C2456">
        <v>0.17699999999999999</v>
      </c>
      <c r="D2456">
        <v>2.9000000000000001E-2</v>
      </c>
      <c r="E2456">
        <v>1.9447723949122201E-7</v>
      </c>
      <c r="F2456">
        <v>4</v>
      </c>
      <c r="G2456" t="s">
        <v>4444</v>
      </c>
      <c r="H2456" t="s">
        <v>4445</v>
      </c>
      <c r="I2456" t="s">
        <v>4444</v>
      </c>
      <c r="J2456" s="1" t="str">
        <f>HYPERLINK("https://zfin.org/ZDB-GENE-030827-5")</f>
        <v>https://zfin.org/ZDB-GENE-030827-5</v>
      </c>
      <c r="K2456" t="s">
        <v>4446</v>
      </c>
    </row>
    <row r="2457" spans="1:11" x14ac:dyDescent="0.2">
      <c r="A2457">
        <v>1.39025229666699E-11</v>
      </c>
      <c r="B2457">
        <v>0.42188106709020101</v>
      </c>
      <c r="C2457">
        <v>0.30399999999999999</v>
      </c>
      <c r="D2457">
        <v>7.8E-2</v>
      </c>
      <c r="E2457">
        <v>2.1525276309294899E-7</v>
      </c>
      <c r="F2457">
        <v>4</v>
      </c>
      <c r="G2457" t="s">
        <v>5476</v>
      </c>
      <c r="H2457" t="s">
        <v>5477</v>
      </c>
      <c r="I2457" t="s">
        <v>5478</v>
      </c>
      <c r="J2457" s="1" t="str">
        <f>HYPERLINK("https://zfin.org/ZDB-GENE-050417-105")</f>
        <v>https://zfin.org/ZDB-GENE-050417-105</v>
      </c>
      <c r="K2457" t="s">
        <v>5479</v>
      </c>
    </row>
    <row r="2458" spans="1:11" x14ac:dyDescent="0.2">
      <c r="A2458">
        <v>1.44389599377167E-11</v>
      </c>
      <c r="B2458">
        <v>0.39228290195004401</v>
      </c>
      <c r="C2458">
        <v>0.98699999999999999</v>
      </c>
      <c r="D2458">
        <v>0.96099999999999997</v>
      </c>
      <c r="E2458">
        <v>2.2355841671566801E-7</v>
      </c>
      <c r="F2458">
        <v>4</v>
      </c>
      <c r="G2458" t="s">
        <v>1840</v>
      </c>
      <c r="H2458" t="s">
        <v>1841</v>
      </c>
      <c r="I2458" t="s">
        <v>1840</v>
      </c>
      <c r="J2458" s="1" t="str">
        <f>HYPERLINK("https://zfin.org/ZDB-GENE-031001-9")</f>
        <v>https://zfin.org/ZDB-GENE-031001-9</v>
      </c>
      <c r="K2458" t="s">
        <v>1842</v>
      </c>
    </row>
    <row r="2459" spans="1:11" x14ac:dyDescent="0.2">
      <c r="A2459">
        <v>1.4793107881622101E-11</v>
      </c>
      <c r="B2459">
        <v>-0.80004064508939299</v>
      </c>
      <c r="C2459">
        <v>0.72199999999999998</v>
      </c>
      <c r="D2459">
        <v>0.878</v>
      </c>
      <c r="E2459">
        <v>2.29041689331155E-7</v>
      </c>
      <c r="F2459">
        <v>4</v>
      </c>
      <c r="G2459" t="s">
        <v>1685</v>
      </c>
      <c r="H2459" t="s">
        <v>1686</v>
      </c>
      <c r="I2459" t="s">
        <v>1685</v>
      </c>
      <c r="J2459" s="1" t="str">
        <f>HYPERLINK("https://zfin.org/ZDB-GENE-031001-11")</f>
        <v>https://zfin.org/ZDB-GENE-031001-11</v>
      </c>
      <c r="K2459" t="s">
        <v>1687</v>
      </c>
    </row>
    <row r="2460" spans="1:11" x14ac:dyDescent="0.2">
      <c r="A2460">
        <v>1.5393953957518601E-11</v>
      </c>
      <c r="B2460">
        <v>0.407188188048138</v>
      </c>
      <c r="C2460">
        <v>0.16500000000000001</v>
      </c>
      <c r="D2460">
        <v>2.5999999999999999E-2</v>
      </c>
      <c r="E2460">
        <v>2.3834458912426E-7</v>
      </c>
      <c r="F2460">
        <v>4</v>
      </c>
      <c r="G2460" t="s">
        <v>5480</v>
      </c>
      <c r="H2460" t="s">
        <v>5481</v>
      </c>
      <c r="I2460" t="s">
        <v>5480</v>
      </c>
      <c r="J2460" s="1" t="str">
        <f>HYPERLINK("https://zfin.org/ZDB-GENE-030131-376")</f>
        <v>https://zfin.org/ZDB-GENE-030131-376</v>
      </c>
      <c r="K2460" t="s">
        <v>5482</v>
      </c>
    </row>
    <row r="2461" spans="1:11" x14ac:dyDescent="0.2">
      <c r="A2461">
        <v>1.5763408141030199E-11</v>
      </c>
      <c r="B2461">
        <v>0.40073001289653398</v>
      </c>
      <c r="C2461">
        <v>0.97499999999999998</v>
      </c>
      <c r="D2461">
        <v>0.92300000000000004</v>
      </c>
      <c r="E2461">
        <v>2.4406484824757099E-7</v>
      </c>
      <c r="F2461">
        <v>4</v>
      </c>
      <c r="G2461" t="s">
        <v>2305</v>
      </c>
      <c r="H2461" t="s">
        <v>2306</v>
      </c>
      <c r="I2461" t="s">
        <v>2305</v>
      </c>
      <c r="J2461" s="1" t="str">
        <f>HYPERLINK("https://zfin.org/ZDB-GENE-050320-15")</f>
        <v>https://zfin.org/ZDB-GENE-050320-15</v>
      </c>
      <c r="K2461" t="s">
        <v>2307</v>
      </c>
    </row>
    <row r="2462" spans="1:11" x14ac:dyDescent="0.2">
      <c r="A2462">
        <v>1.6299220744620998E-11</v>
      </c>
      <c r="B2462">
        <v>0.382004379715632</v>
      </c>
      <c r="C2462">
        <v>0.215</v>
      </c>
      <c r="D2462">
        <v>4.2999999999999997E-2</v>
      </c>
      <c r="E2462">
        <v>2.5236083478896601E-7</v>
      </c>
      <c r="F2462">
        <v>4</v>
      </c>
      <c r="G2462" t="s">
        <v>3635</v>
      </c>
      <c r="H2462" t="s">
        <v>3636</v>
      </c>
      <c r="I2462" t="s">
        <v>3635</v>
      </c>
      <c r="J2462" s="1" t="str">
        <f>HYPERLINK("https://zfin.org/ZDB-GENE-010816-1")</f>
        <v>https://zfin.org/ZDB-GENE-010816-1</v>
      </c>
      <c r="K2462" t="s">
        <v>3637</v>
      </c>
    </row>
    <row r="2463" spans="1:11" x14ac:dyDescent="0.2">
      <c r="A2463">
        <v>1.7074703832075001E-11</v>
      </c>
      <c r="B2463">
        <v>0.28816816429201297</v>
      </c>
      <c r="C2463">
        <v>0.127</v>
      </c>
      <c r="D2463">
        <v>1.4999999999999999E-2</v>
      </c>
      <c r="E2463">
        <v>2.6436763943201702E-7</v>
      </c>
      <c r="F2463">
        <v>4</v>
      </c>
      <c r="G2463" t="s">
        <v>4811</v>
      </c>
      <c r="H2463" t="s">
        <v>4812</v>
      </c>
      <c r="I2463" t="s">
        <v>4811</v>
      </c>
      <c r="J2463" s="1" t="str">
        <f>HYPERLINK("https://zfin.org/ZDB-GENE-141215-72")</f>
        <v>https://zfin.org/ZDB-GENE-141215-72</v>
      </c>
      <c r="K2463" t="s">
        <v>4813</v>
      </c>
    </row>
    <row r="2464" spans="1:11" x14ac:dyDescent="0.2">
      <c r="A2464">
        <v>1.75083420116764E-11</v>
      </c>
      <c r="B2464">
        <v>0.50601635986944604</v>
      </c>
      <c r="C2464">
        <v>0.35399999999999998</v>
      </c>
      <c r="D2464">
        <v>0.107</v>
      </c>
      <c r="E2464">
        <v>2.7108165936678501E-7</v>
      </c>
      <c r="F2464">
        <v>4</v>
      </c>
      <c r="G2464" t="s">
        <v>4924</v>
      </c>
      <c r="H2464" t="s">
        <v>4925</v>
      </c>
      <c r="I2464" t="s">
        <v>4924</v>
      </c>
      <c r="J2464" s="1" t="str">
        <f>HYPERLINK("https://zfin.org/ZDB-GENE-040426-1588")</f>
        <v>https://zfin.org/ZDB-GENE-040426-1588</v>
      </c>
      <c r="K2464" t="s">
        <v>4926</v>
      </c>
    </row>
    <row r="2465" spans="1:11" x14ac:dyDescent="0.2">
      <c r="A2465">
        <v>1.7959842394293499E-11</v>
      </c>
      <c r="B2465">
        <v>0.46290911936961099</v>
      </c>
      <c r="C2465">
        <v>0.94899999999999995</v>
      </c>
      <c r="D2465">
        <v>0.92</v>
      </c>
      <c r="E2465">
        <v>2.7807223979084599E-7</v>
      </c>
      <c r="F2465">
        <v>4</v>
      </c>
      <c r="G2465" t="s">
        <v>3023</v>
      </c>
      <c r="H2465" t="s">
        <v>3024</v>
      </c>
      <c r="I2465" t="s">
        <v>3023</v>
      </c>
      <c r="J2465" s="1" t="str">
        <f>HYPERLINK("https://zfin.org/ZDB-GENE-000629-1")</f>
        <v>https://zfin.org/ZDB-GENE-000629-1</v>
      </c>
      <c r="K2465" t="s">
        <v>3025</v>
      </c>
    </row>
    <row r="2466" spans="1:11" x14ac:dyDescent="0.2">
      <c r="A2466">
        <v>1.8469201429011001E-11</v>
      </c>
      <c r="B2466">
        <v>0.41313055165442802</v>
      </c>
      <c r="C2466">
        <v>0.94899999999999995</v>
      </c>
      <c r="D2466">
        <v>0.93300000000000005</v>
      </c>
      <c r="E2466">
        <v>2.85958645725377E-7</v>
      </c>
      <c r="F2466">
        <v>4</v>
      </c>
      <c r="G2466" t="s">
        <v>1793</v>
      </c>
      <c r="H2466" t="s">
        <v>1794</v>
      </c>
      <c r="I2466" t="s">
        <v>1793</v>
      </c>
      <c r="J2466" s="1" t="str">
        <f>HYPERLINK("https://zfin.org/ZDB-GENE-040927-19")</f>
        <v>https://zfin.org/ZDB-GENE-040927-19</v>
      </c>
      <c r="K2466" t="s">
        <v>1795</v>
      </c>
    </row>
    <row r="2467" spans="1:11" x14ac:dyDescent="0.2">
      <c r="A2467">
        <v>1.9460586116265501E-11</v>
      </c>
      <c r="B2467">
        <v>0.399361937491093</v>
      </c>
      <c r="C2467">
        <v>0.27800000000000002</v>
      </c>
      <c r="D2467">
        <v>6.9000000000000006E-2</v>
      </c>
      <c r="E2467">
        <v>3.01308254838139E-7</v>
      </c>
      <c r="F2467">
        <v>4</v>
      </c>
      <c r="G2467" t="s">
        <v>3965</v>
      </c>
      <c r="H2467" t="s">
        <v>3966</v>
      </c>
      <c r="I2467" t="s">
        <v>3965</v>
      </c>
      <c r="J2467" s="1" t="str">
        <f>HYPERLINK("https://zfin.org/ZDB-GENE-030131-5923")</f>
        <v>https://zfin.org/ZDB-GENE-030131-5923</v>
      </c>
      <c r="K2467" t="s">
        <v>3967</v>
      </c>
    </row>
    <row r="2468" spans="1:11" x14ac:dyDescent="0.2">
      <c r="A2468">
        <v>2.0967026069858901E-11</v>
      </c>
      <c r="B2468">
        <v>0.53162004796691598</v>
      </c>
      <c r="C2468">
        <v>0.34200000000000003</v>
      </c>
      <c r="D2468">
        <v>9.7000000000000003E-2</v>
      </c>
      <c r="E2468">
        <v>3.2463246463962503E-7</v>
      </c>
      <c r="F2468">
        <v>4</v>
      </c>
      <c r="G2468" t="s">
        <v>5483</v>
      </c>
      <c r="H2468" t="s">
        <v>5484</v>
      </c>
      <c r="I2468" t="s">
        <v>5483</v>
      </c>
      <c r="J2468" s="1" t="str">
        <f>HYPERLINK("https://zfin.org/ZDB-GENE-090313-145")</f>
        <v>https://zfin.org/ZDB-GENE-090313-145</v>
      </c>
      <c r="K2468" t="s">
        <v>5485</v>
      </c>
    </row>
    <row r="2469" spans="1:11" x14ac:dyDescent="0.2">
      <c r="A2469">
        <v>2.15115992648086E-11</v>
      </c>
      <c r="B2469">
        <v>0.38456132954239503</v>
      </c>
      <c r="C2469">
        <v>0.17699999999999999</v>
      </c>
      <c r="D2469">
        <v>0.03</v>
      </c>
      <c r="E2469">
        <v>3.3306409141703202E-7</v>
      </c>
      <c r="F2469">
        <v>4</v>
      </c>
      <c r="G2469" t="s">
        <v>5486</v>
      </c>
      <c r="H2469" t="s">
        <v>5487</v>
      </c>
      <c r="I2469" t="s">
        <v>5486</v>
      </c>
      <c r="J2469" s="1" t="str">
        <f>HYPERLINK("https://zfin.org/ZDB-GENE-131121-440")</f>
        <v>https://zfin.org/ZDB-GENE-131121-440</v>
      </c>
      <c r="K2469" t="s">
        <v>5488</v>
      </c>
    </row>
    <row r="2470" spans="1:11" x14ac:dyDescent="0.2">
      <c r="A2470">
        <v>2.1547428663698502E-11</v>
      </c>
      <c r="B2470">
        <v>0.372451331001737</v>
      </c>
      <c r="C2470">
        <v>0.316</v>
      </c>
      <c r="D2470">
        <v>8.3000000000000004E-2</v>
      </c>
      <c r="E2470">
        <v>3.3361883800004401E-7</v>
      </c>
      <c r="F2470">
        <v>4</v>
      </c>
      <c r="G2470" t="s">
        <v>5489</v>
      </c>
      <c r="H2470" t="s">
        <v>5490</v>
      </c>
      <c r="I2470" t="s">
        <v>5489</v>
      </c>
      <c r="J2470" s="1" t="str">
        <f>HYPERLINK("https://zfin.org/ZDB-GENE-030131-1361")</f>
        <v>https://zfin.org/ZDB-GENE-030131-1361</v>
      </c>
      <c r="K2470" t="s">
        <v>5491</v>
      </c>
    </row>
    <row r="2471" spans="1:11" x14ac:dyDescent="0.2">
      <c r="A2471">
        <v>2.2438941588192099E-11</v>
      </c>
      <c r="B2471">
        <v>0.50276119072746295</v>
      </c>
      <c r="C2471">
        <v>0.94899999999999995</v>
      </c>
      <c r="D2471">
        <v>0.75600000000000001</v>
      </c>
      <c r="E2471">
        <v>3.4742213260997799E-7</v>
      </c>
      <c r="F2471">
        <v>4</v>
      </c>
      <c r="G2471" t="s">
        <v>3017</v>
      </c>
      <c r="H2471" t="s">
        <v>3018</v>
      </c>
      <c r="I2471" t="s">
        <v>3017</v>
      </c>
      <c r="J2471" s="1" t="str">
        <f>HYPERLINK("https://zfin.org/ZDB-GENE-051023-7")</f>
        <v>https://zfin.org/ZDB-GENE-051023-7</v>
      </c>
      <c r="K2471" t="s">
        <v>3019</v>
      </c>
    </row>
    <row r="2472" spans="1:11" x14ac:dyDescent="0.2">
      <c r="A2472">
        <v>2.4210970123031601E-11</v>
      </c>
      <c r="B2472">
        <v>0.51962755965594898</v>
      </c>
      <c r="C2472">
        <v>0.38</v>
      </c>
      <c r="D2472">
        <v>0.114</v>
      </c>
      <c r="E2472">
        <v>3.7485845041489802E-7</v>
      </c>
      <c r="F2472">
        <v>4</v>
      </c>
      <c r="G2472" t="s">
        <v>5492</v>
      </c>
      <c r="H2472" t="s">
        <v>5493</v>
      </c>
      <c r="I2472" t="s">
        <v>5492</v>
      </c>
      <c r="J2472" s="1" t="str">
        <f>HYPERLINK("https://zfin.org/ZDB-GENE-141222-32")</f>
        <v>https://zfin.org/ZDB-GENE-141222-32</v>
      </c>
      <c r="K2472" t="s">
        <v>5494</v>
      </c>
    </row>
    <row r="2473" spans="1:11" x14ac:dyDescent="0.2">
      <c r="A2473">
        <v>2.72842421296075E-11</v>
      </c>
      <c r="B2473">
        <v>0.40387069201028097</v>
      </c>
      <c r="C2473">
        <v>0.94899999999999995</v>
      </c>
      <c r="D2473">
        <v>0.93100000000000005</v>
      </c>
      <c r="E2473">
        <v>4.22441920892712E-7</v>
      </c>
      <c r="F2473">
        <v>4</v>
      </c>
      <c r="G2473" t="s">
        <v>1694</v>
      </c>
      <c r="H2473" t="s">
        <v>1695</v>
      </c>
      <c r="I2473" t="s">
        <v>1694</v>
      </c>
      <c r="J2473" s="1" t="str">
        <f>HYPERLINK("https://zfin.org/ZDB-GENE-020419-2")</f>
        <v>https://zfin.org/ZDB-GENE-020419-2</v>
      </c>
      <c r="K2473" t="s">
        <v>1696</v>
      </c>
    </row>
    <row r="2474" spans="1:11" x14ac:dyDescent="0.2">
      <c r="A2474">
        <v>3.0216054177988999E-11</v>
      </c>
      <c r="B2474">
        <v>0.48692111123905701</v>
      </c>
      <c r="C2474">
        <v>0.29099999999999998</v>
      </c>
      <c r="D2474">
        <v>7.3999999999999996E-2</v>
      </c>
      <c r="E2474">
        <v>4.6783516683780402E-7</v>
      </c>
      <c r="F2474">
        <v>4</v>
      </c>
      <c r="G2474" t="s">
        <v>3446</v>
      </c>
      <c r="H2474" t="s">
        <v>3447</v>
      </c>
      <c r="I2474" t="s">
        <v>3446</v>
      </c>
      <c r="J2474" s="1" t="str">
        <f>HYPERLINK("https://zfin.org/ZDB-GENE-040426-1725")</f>
        <v>https://zfin.org/ZDB-GENE-040426-1725</v>
      </c>
      <c r="K2474" t="s">
        <v>3448</v>
      </c>
    </row>
    <row r="2475" spans="1:11" x14ac:dyDescent="0.2">
      <c r="A2475">
        <v>3.0768589619411797E-11</v>
      </c>
      <c r="B2475">
        <v>0.96121477057571103</v>
      </c>
      <c r="C2475">
        <v>0.51900000000000002</v>
      </c>
      <c r="D2475">
        <v>0.214</v>
      </c>
      <c r="E2475">
        <v>4.76390073077353E-7</v>
      </c>
      <c r="F2475">
        <v>4</v>
      </c>
      <c r="G2475" t="s">
        <v>5495</v>
      </c>
      <c r="H2475" t="s">
        <v>5496</v>
      </c>
      <c r="I2475" t="s">
        <v>5495</v>
      </c>
      <c r="J2475" s="1" t="str">
        <f>HYPERLINK("https://zfin.org/ZDB-GENE-030707-2")</f>
        <v>https://zfin.org/ZDB-GENE-030707-2</v>
      </c>
      <c r="K2475" t="s">
        <v>5497</v>
      </c>
    </row>
    <row r="2476" spans="1:11" x14ac:dyDescent="0.2">
      <c r="A2476">
        <v>3.3900236553556802E-11</v>
      </c>
      <c r="B2476">
        <v>0.39370234953612998</v>
      </c>
      <c r="C2476">
        <v>0.30399999999999999</v>
      </c>
      <c r="D2476">
        <v>7.6999999999999999E-2</v>
      </c>
      <c r="E2476">
        <v>5.2487736255871901E-7</v>
      </c>
      <c r="F2476">
        <v>4</v>
      </c>
      <c r="G2476" t="s">
        <v>4942</v>
      </c>
      <c r="H2476" t="s">
        <v>4943</v>
      </c>
      <c r="I2476" t="s">
        <v>4942</v>
      </c>
      <c r="J2476" s="1" t="str">
        <f>HYPERLINK("https://zfin.org/ZDB-GENE-030909-6")</f>
        <v>https://zfin.org/ZDB-GENE-030909-6</v>
      </c>
      <c r="K2476" t="s">
        <v>4944</v>
      </c>
    </row>
    <row r="2477" spans="1:11" x14ac:dyDescent="0.2">
      <c r="A2477">
        <v>3.5564669219015498E-11</v>
      </c>
      <c r="B2477">
        <v>0.53833305449438495</v>
      </c>
      <c r="C2477">
        <v>0.215</v>
      </c>
      <c r="D2477">
        <v>4.4999999999999998E-2</v>
      </c>
      <c r="E2477">
        <v>5.5064777351801702E-7</v>
      </c>
      <c r="F2477">
        <v>4</v>
      </c>
      <c r="G2477" t="s">
        <v>4361</v>
      </c>
      <c r="H2477" t="s">
        <v>4362</v>
      </c>
      <c r="I2477" t="s">
        <v>4361</v>
      </c>
      <c r="J2477" s="1" t="str">
        <f>HYPERLINK("https://zfin.org/ZDB-GENE-030131-105")</f>
        <v>https://zfin.org/ZDB-GENE-030131-105</v>
      </c>
      <c r="K2477" t="s">
        <v>4363</v>
      </c>
    </row>
    <row r="2478" spans="1:11" x14ac:dyDescent="0.2">
      <c r="A2478">
        <v>3.68760277983313E-11</v>
      </c>
      <c r="B2478">
        <v>0.53635843919474102</v>
      </c>
      <c r="C2478">
        <v>0.94899999999999995</v>
      </c>
      <c r="D2478">
        <v>0.78700000000000003</v>
      </c>
      <c r="E2478">
        <v>5.7095153840156401E-7</v>
      </c>
      <c r="F2478">
        <v>4</v>
      </c>
      <c r="G2478" t="s">
        <v>4268</v>
      </c>
      <c r="H2478" t="s">
        <v>4269</v>
      </c>
      <c r="I2478" t="s">
        <v>4268</v>
      </c>
      <c r="J2478" s="1" t="str">
        <f>HYPERLINK("https://zfin.org/ZDB-GENE-030131-5841")</f>
        <v>https://zfin.org/ZDB-GENE-030131-5841</v>
      </c>
      <c r="K2478" t="s">
        <v>4270</v>
      </c>
    </row>
    <row r="2479" spans="1:11" x14ac:dyDescent="0.2">
      <c r="A2479">
        <v>3.8808282128149699E-11</v>
      </c>
      <c r="B2479">
        <v>0.47227597744227501</v>
      </c>
      <c r="C2479">
        <v>0.29099999999999998</v>
      </c>
      <c r="D2479">
        <v>7.5999999999999998E-2</v>
      </c>
      <c r="E2479">
        <v>6.0086863219014097E-7</v>
      </c>
      <c r="F2479">
        <v>4</v>
      </c>
      <c r="G2479" t="s">
        <v>5498</v>
      </c>
      <c r="H2479" t="s">
        <v>5499</v>
      </c>
      <c r="I2479" t="s">
        <v>5498</v>
      </c>
      <c r="J2479" s="1" t="str">
        <f>HYPERLINK("https://zfin.org/ZDB-GENE-050522-256")</f>
        <v>https://zfin.org/ZDB-GENE-050522-256</v>
      </c>
      <c r="K2479" t="s">
        <v>5500</v>
      </c>
    </row>
    <row r="2480" spans="1:11" x14ac:dyDescent="0.2">
      <c r="A2480">
        <v>4.09454506694448E-11</v>
      </c>
      <c r="B2480">
        <v>0.54554167219535998</v>
      </c>
      <c r="C2480">
        <v>0.34200000000000003</v>
      </c>
      <c r="D2480">
        <v>9.9000000000000005E-2</v>
      </c>
      <c r="E2480">
        <v>6.3395841271501397E-7</v>
      </c>
      <c r="F2480">
        <v>4</v>
      </c>
      <c r="G2480" t="s">
        <v>4343</v>
      </c>
      <c r="H2480" t="s">
        <v>4344</v>
      </c>
      <c r="I2480" t="s">
        <v>4343</v>
      </c>
      <c r="J2480" s="1" t="str">
        <f>HYPERLINK("https://zfin.org/ZDB-GENE-030131-5366")</f>
        <v>https://zfin.org/ZDB-GENE-030131-5366</v>
      </c>
      <c r="K2480" t="s">
        <v>4345</v>
      </c>
    </row>
    <row r="2481" spans="1:11" x14ac:dyDescent="0.2">
      <c r="A2481">
        <v>4.3345775258724403E-11</v>
      </c>
      <c r="B2481">
        <v>0.41973980107730402</v>
      </c>
      <c r="C2481">
        <v>0.22800000000000001</v>
      </c>
      <c r="D2481">
        <v>4.9000000000000002E-2</v>
      </c>
      <c r="E2481">
        <v>6.7112263833082998E-7</v>
      </c>
      <c r="F2481">
        <v>4</v>
      </c>
      <c r="G2481" t="s">
        <v>3612</v>
      </c>
      <c r="H2481" t="s">
        <v>3613</v>
      </c>
      <c r="I2481" t="s">
        <v>3612</v>
      </c>
      <c r="J2481" s="1" t="str">
        <f>HYPERLINK("https://zfin.org/ZDB-GENE-060130-180")</f>
        <v>https://zfin.org/ZDB-GENE-060130-180</v>
      </c>
      <c r="K2481" t="s">
        <v>3614</v>
      </c>
    </row>
    <row r="2482" spans="1:11" x14ac:dyDescent="0.2">
      <c r="A2482">
        <v>4.52935597128688E-11</v>
      </c>
      <c r="B2482">
        <v>0.60588618936452998</v>
      </c>
      <c r="C2482">
        <v>0.48099999999999998</v>
      </c>
      <c r="D2482">
        <v>0.182</v>
      </c>
      <c r="E2482">
        <v>7.0128018503434801E-7</v>
      </c>
      <c r="F2482">
        <v>4</v>
      </c>
      <c r="G2482" t="s">
        <v>3895</v>
      </c>
      <c r="H2482" t="s">
        <v>3896</v>
      </c>
      <c r="I2482" t="s">
        <v>3895</v>
      </c>
      <c r="J2482" s="1" t="str">
        <f>HYPERLINK("https://zfin.org/ZDB-GENE-030828-5")</f>
        <v>https://zfin.org/ZDB-GENE-030828-5</v>
      </c>
      <c r="K2482" t="s">
        <v>3897</v>
      </c>
    </row>
    <row r="2483" spans="1:11" x14ac:dyDescent="0.2">
      <c r="A2483">
        <v>4.9047779796222698E-11</v>
      </c>
      <c r="B2483">
        <v>0.27098599702927301</v>
      </c>
      <c r="C2483">
        <v>0.127</v>
      </c>
      <c r="D2483">
        <v>1.6E-2</v>
      </c>
      <c r="E2483">
        <v>7.5940677458491595E-7</v>
      </c>
      <c r="F2483">
        <v>4</v>
      </c>
      <c r="G2483" t="s">
        <v>4720</v>
      </c>
      <c r="H2483" t="s">
        <v>4721</v>
      </c>
      <c r="I2483" t="s">
        <v>4720</v>
      </c>
      <c r="J2483" s="1" t="str">
        <f>HYPERLINK("https://zfin.org/ZDB-GENE-130531-63")</f>
        <v>https://zfin.org/ZDB-GENE-130531-63</v>
      </c>
      <c r="K2483" t="s">
        <v>4722</v>
      </c>
    </row>
    <row r="2484" spans="1:11" x14ac:dyDescent="0.2">
      <c r="A2484">
        <v>5.3892525251507501E-11</v>
      </c>
      <c r="B2484">
        <v>-1.02475251636882</v>
      </c>
      <c r="C2484">
        <v>0.72199999999999998</v>
      </c>
      <c r="D2484">
        <v>0.85699999999999998</v>
      </c>
      <c r="E2484">
        <v>8.3441796846908999E-7</v>
      </c>
      <c r="F2484">
        <v>4</v>
      </c>
      <c r="G2484" t="s">
        <v>2072</v>
      </c>
      <c r="H2484" t="s">
        <v>2073</v>
      </c>
      <c r="I2484" t="s">
        <v>2072</v>
      </c>
      <c r="J2484" s="1" t="str">
        <f>HYPERLINK("https://zfin.org/ZDB-GENE-030131-8599")</f>
        <v>https://zfin.org/ZDB-GENE-030131-8599</v>
      </c>
      <c r="K2484" t="s">
        <v>2074</v>
      </c>
    </row>
    <row r="2485" spans="1:11" x14ac:dyDescent="0.2">
      <c r="A2485">
        <v>5.4010701239455798E-11</v>
      </c>
      <c r="B2485">
        <v>0.47555473400774301</v>
      </c>
      <c r="C2485">
        <v>0.316</v>
      </c>
      <c r="D2485">
        <v>8.6999999999999994E-2</v>
      </c>
      <c r="E2485">
        <v>8.3624768729049399E-7</v>
      </c>
      <c r="F2485">
        <v>4</v>
      </c>
      <c r="G2485" t="s">
        <v>5501</v>
      </c>
      <c r="H2485" t="s">
        <v>5502</v>
      </c>
      <c r="I2485" t="s">
        <v>5501</v>
      </c>
      <c r="J2485" s="1" t="str">
        <f>HYPERLINK("https://zfin.org/ZDB-GENE-040426-1333")</f>
        <v>https://zfin.org/ZDB-GENE-040426-1333</v>
      </c>
      <c r="K2485" t="s">
        <v>5503</v>
      </c>
    </row>
    <row r="2486" spans="1:11" x14ac:dyDescent="0.2">
      <c r="A2486">
        <v>6.2737845383640395E-11</v>
      </c>
      <c r="B2486">
        <v>0.26914482239755899</v>
      </c>
      <c r="C2486">
        <v>0.13900000000000001</v>
      </c>
      <c r="D2486">
        <v>1.9E-2</v>
      </c>
      <c r="E2486">
        <v>9.7137006007490392E-7</v>
      </c>
      <c r="F2486">
        <v>4</v>
      </c>
      <c r="G2486" t="s">
        <v>4927</v>
      </c>
      <c r="H2486" t="s">
        <v>4928</v>
      </c>
      <c r="I2486" t="s">
        <v>4927</v>
      </c>
      <c r="J2486" s="1" t="str">
        <f>HYPERLINK("https://zfin.org/ZDB-GENE-040426-1947")</f>
        <v>https://zfin.org/ZDB-GENE-040426-1947</v>
      </c>
      <c r="K2486" t="s">
        <v>4929</v>
      </c>
    </row>
    <row r="2487" spans="1:11" x14ac:dyDescent="0.2">
      <c r="A2487">
        <v>6.9853834766710801E-11</v>
      </c>
      <c r="B2487">
        <v>0.39859342313505502</v>
      </c>
      <c r="C2487">
        <v>0.253</v>
      </c>
      <c r="D2487">
        <v>0.06</v>
      </c>
      <c r="E2487">
        <v>1.0815469236929801E-6</v>
      </c>
      <c r="F2487">
        <v>4</v>
      </c>
      <c r="G2487" t="s">
        <v>4573</v>
      </c>
      <c r="H2487" t="s">
        <v>4574</v>
      </c>
      <c r="I2487" t="s">
        <v>4573</v>
      </c>
      <c r="J2487" s="1" t="str">
        <f>HYPERLINK("https://zfin.org/ZDB-GENE-110411-78")</f>
        <v>https://zfin.org/ZDB-GENE-110411-78</v>
      </c>
      <c r="K2487" t="s">
        <v>4575</v>
      </c>
    </row>
    <row r="2488" spans="1:11" x14ac:dyDescent="0.2">
      <c r="A2488">
        <v>7.0045906157991402E-11</v>
      </c>
      <c r="B2488">
        <v>-1.6911511099799601</v>
      </c>
      <c r="C2488">
        <v>1</v>
      </c>
      <c r="D2488">
        <v>1</v>
      </c>
      <c r="E2488">
        <v>1.08452076504418E-6</v>
      </c>
      <c r="F2488">
        <v>4</v>
      </c>
      <c r="G2488" t="s">
        <v>708</v>
      </c>
      <c r="H2488" t="s">
        <v>709</v>
      </c>
      <c r="I2488" t="s">
        <v>708</v>
      </c>
      <c r="J2488" s="1" t="str">
        <f>HYPERLINK("https://zfin.org/ZDB-GENE-030805-3")</f>
        <v>https://zfin.org/ZDB-GENE-030805-3</v>
      </c>
      <c r="K2488" t="s">
        <v>710</v>
      </c>
    </row>
    <row r="2489" spans="1:11" x14ac:dyDescent="0.2">
      <c r="A2489">
        <v>7.1748817058401995E-11</v>
      </c>
      <c r="B2489">
        <v>0.29116284854291902</v>
      </c>
      <c r="C2489">
        <v>0.19</v>
      </c>
      <c r="D2489">
        <v>3.5000000000000003E-2</v>
      </c>
      <c r="E2489">
        <v>1.11088693451524E-6</v>
      </c>
      <c r="F2489">
        <v>4</v>
      </c>
      <c r="G2489" t="s">
        <v>5504</v>
      </c>
      <c r="H2489" t="s">
        <v>5505</v>
      </c>
      <c r="I2489" t="s">
        <v>5504</v>
      </c>
      <c r="J2489" s="1" t="str">
        <f>HYPERLINK("https://zfin.org/ZDB-GENE-040428-1")</f>
        <v>https://zfin.org/ZDB-GENE-040428-1</v>
      </c>
      <c r="K2489" t="s">
        <v>5506</v>
      </c>
    </row>
    <row r="2490" spans="1:11" x14ac:dyDescent="0.2">
      <c r="A2490">
        <v>7.2129200121073396E-11</v>
      </c>
      <c r="B2490">
        <v>0.336031083802379</v>
      </c>
      <c r="C2490">
        <v>0.20300000000000001</v>
      </c>
      <c r="D2490">
        <v>0.04</v>
      </c>
      <c r="E2490">
        <v>1.11677640547458E-6</v>
      </c>
      <c r="F2490">
        <v>4</v>
      </c>
      <c r="G2490" t="s">
        <v>3871</v>
      </c>
      <c r="H2490" t="s">
        <v>3872</v>
      </c>
      <c r="I2490" t="s">
        <v>3871</v>
      </c>
      <c r="J2490" s="1" t="str">
        <f>HYPERLINK("https://zfin.org/ZDB-GENE-030131-2804")</f>
        <v>https://zfin.org/ZDB-GENE-030131-2804</v>
      </c>
      <c r="K2490" t="s">
        <v>3873</v>
      </c>
    </row>
    <row r="2491" spans="1:11" x14ac:dyDescent="0.2">
      <c r="A2491">
        <v>7.2192831090296701E-11</v>
      </c>
      <c r="B2491">
        <v>0.37779539541587198</v>
      </c>
      <c r="C2491">
        <v>0.16500000000000001</v>
      </c>
      <c r="D2491">
        <v>2.7E-2</v>
      </c>
      <c r="E2491">
        <v>1.1177616037710601E-6</v>
      </c>
      <c r="F2491">
        <v>4</v>
      </c>
      <c r="G2491" t="s">
        <v>4375</v>
      </c>
      <c r="H2491" t="s">
        <v>4376</v>
      </c>
      <c r="I2491" t="s">
        <v>4375</v>
      </c>
      <c r="J2491" s="1" t="str">
        <f>HYPERLINK("https://zfin.org/ZDB-GENE-030131-9652")</f>
        <v>https://zfin.org/ZDB-GENE-030131-9652</v>
      </c>
      <c r="K2491" t="s">
        <v>4377</v>
      </c>
    </row>
    <row r="2492" spans="1:11" x14ac:dyDescent="0.2">
      <c r="A2492">
        <v>7.4079009325101401E-11</v>
      </c>
      <c r="B2492">
        <v>-0.68609509150831405</v>
      </c>
      <c r="C2492">
        <v>0.72199999999999998</v>
      </c>
      <c r="D2492">
        <v>0.86</v>
      </c>
      <c r="E2492">
        <v>1.1469653013805501E-6</v>
      </c>
      <c r="F2492">
        <v>4</v>
      </c>
      <c r="G2492" t="s">
        <v>5241</v>
      </c>
      <c r="H2492" t="s">
        <v>5242</v>
      </c>
      <c r="I2492" t="s">
        <v>5241</v>
      </c>
      <c r="J2492" s="1" t="str">
        <f>HYPERLINK("https://zfin.org/ZDB-GENE-030410-5")</f>
        <v>https://zfin.org/ZDB-GENE-030410-5</v>
      </c>
      <c r="K2492" t="s">
        <v>5243</v>
      </c>
    </row>
    <row r="2493" spans="1:11" x14ac:dyDescent="0.2">
      <c r="A2493">
        <v>8.1082654002283794E-11</v>
      </c>
      <c r="B2493">
        <v>0.260122883902414</v>
      </c>
      <c r="C2493">
        <v>0.24099999999999999</v>
      </c>
      <c r="D2493">
        <v>5.2999999999999999E-2</v>
      </c>
      <c r="E2493">
        <v>1.2554027319173599E-6</v>
      </c>
      <c r="F2493">
        <v>4</v>
      </c>
      <c r="G2493" t="s">
        <v>5507</v>
      </c>
      <c r="H2493" t="s">
        <v>5508</v>
      </c>
      <c r="I2493" t="s">
        <v>5507</v>
      </c>
      <c r="J2493" s="1" t="str">
        <f>HYPERLINK("https://zfin.org/ZDB-GENE-990715-16")</f>
        <v>https://zfin.org/ZDB-GENE-990715-16</v>
      </c>
      <c r="K2493" t="s">
        <v>5509</v>
      </c>
    </row>
    <row r="2494" spans="1:11" x14ac:dyDescent="0.2">
      <c r="A2494">
        <v>8.1118354544664706E-11</v>
      </c>
      <c r="B2494">
        <v>-1.1629454018894001</v>
      </c>
      <c r="C2494">
        <v>0.32900000000000001</v>
      </c>
      <c r="D2494">
        <v>0.64800000000000002</v>
      </c>
      <c r="E2494">
        <v>1.2559554834150399E-6</v>
      </c>
      <c r="F2494">
        <v>4</v>
      </c>
      <c r="G2494" t="s">
        <v>5510</v>
      </c>
      <c r="H2494" t="s">
        <v>5511</v>
      </c>
      <c r="I2494" t="s">
        <v>5510</v>
      </c>
      <c r="J2494" s="1" t="str">
        <f>HYPERLINK("https://zfin.org/ZDB-GENE-000619-1")</f>
        <v>https://zfin.org/ZDB-GENE-000619-1</v>
      </c>
      <c r="K2494" t="s">
        <v>5512</v>
      </c>
    </row>
    <row r="2495" spans="1:11" x14ac:dyDescent="0.2">
      <c r="A2495">
        <v>8.6875060985047405E-11</v>
      </c>
      <c r="B2495">
        <v>0.55150997452220496</v>
      </c>
      <c r="C2495">
        <v>0.75900000000000001</v>
      </c>
      <c r="D2495">
        <v>0.41699999999999998</v>
      </c>
      <c r="E2495">
        <v>1.34508656923149E-6</v>
      </c>
      <c r="F2495">
        <v>4</v>
      </c>
      <c r="G2495" t="s">
        <v>4774</v>
      </c>
      <c r="H2495" t="s">
        <v>4775</v>
      </c>
      <c r="I2495" t="s">
        <v>4774</v>
      </c>
      <c r="J2495" s="1" t="str">
        <f>HYPERLINK("https://zfin.org/ZDB-GENE-020419-14")</f>
        <v>https://zfin.org/ZDB-GENE-020419-14</v>
      </c>
      <c r="K2495" t="s">
        <v>4776</v>
      </c>
    </row>
    <row r="2496" spans="1:11" x14ac:dyDescent="0.2">
      <c r="A2496">
        <v>9.3789913145023206E-11</v>
      </c>
      <c r="B2496">
        <v>0.54232577485373601</v>
      </c>
      <c r="C2496">
        <v>0.35399999999999998</v>
      </c>
      <c r="D2496">
        <v>0.106</v>
      </c>
      <c r="E2496">
        <v>1.45214922522439E-6</v>
      </c>
      <c r="F2496">
        <v>4</v>
      </c>
      <c r="G2496" t="s">
        <v>5513</v>
      </c>
      <c r="H2496" t="s">
        <v>5514</v>
      </c>
      <c r="I2496" t="s">
        <v>5513</v>
      </c>
      <c r="J2496" s="1" t="str">
        <f>HYPERLINK("https://zfin.org/ZDB-GENE-030131-5935")</f>
        <v>https://zfin.org/ZDB-GENE-030131-5935</v>
      </c>
      <c r="K2496" t="s">
        <v>5515</v>
      </c>
    </row>
    <row r="2497" spans="1:11" x14ac:dyDescent="0.2">
      <c r="A2497">
        <v>9.9413384709278706E-11</v>
      </c>
      <c r="B2497">
        <v>0.28040607137164197</v>
      </c>
      <c r="C2497">
        <v>0.114</v>
      </c>
      <c r="D2497">
        <v>1.2999999999999999E-2</v>
      </c>
      <c r="E2497">
        <v>1.5392174354537601E-6</v>
      </c>
      <c r="F2497">
        <v>4</v>
      </c>
      <c r="G2497" t="s">
        <v>5516</v>
      </c>
      <c r="H2497" t="s">
        <v>5517</v>
      </c>
      <c r="I2497" t="s">
        <v>5516</v>
      </c>
      <c r="J2497" s="1" t="str">
        <f>HYPERLINK("https://zfin.org/ZDB-GENE-071116-7")</f>
        <v>https://zfin.org/ZDB-GENE-071116-7</v>
      </c>
      <c r="K2497" t="s">
        <v>5518</v>
      </c>
    </row>
    <row r="2498" spans="1:11" x14ac:dyDescent="0.2">
      <c r="A2498">
        <v>9.9557431841825897E-11</v>
      </c>
      <c r="B2498">
        <v>0.42438585949469598</v>
      </c>
      <c r="C2498">
        <v>0.17699999999999999</v>
      </c>
      <c r="D2498">
        <v>3.2000000000000001E-2</v>
      </c>
      <c r="E2498">
        <v>1.54144771720699E-6</v>
      </c>
      <c r="F2498">
        <v>4</v>
      </c>
      <c r="G2498" t="s">
        <v>4546</v>
      </c>
      <c r="H2498" t="s">
        <v>4547</v>
      </c>
      <c r="I2498" t="s">
        <v>4546</v>
      </c>
      <c r="J2498" s="1" t="str">
        <f>HYPERLINK("https://zfin.org/ZDB-GENE-041114-171")</f>
        <v>https://zfin.org/ZDB-GENE-041114-171</v>
      </c>
      <c r="K2498" t="s">
        <v>4548</v>
      </c>
    </row>
    <row r="2499" spans="1:11" x14ac:dyDescent="0.2">
      <c r="A2499">
        <v>1.02305863477923E-10</v>
      </c>
      <c r="B2499">
        <v>0.45201194311133203</v>
      </c>
      <c r="C2499">
        <v>0.40500000000000003</v>
      </c>
      <c r="D2499">
        <v>0.13400000000000001</v>
      </c>
      <c r="E2499">
        <v>1.58400168422868E-6</v>
      </c>
      <c r="F2499">
        <v>4</v>
      </c>
      <c r="G2499" t="s">
        <v>5181</v>
      </c>
      <c r="H2499" t="s">
        <v>5182</v>
      </c>
      <c r="I2499" t="s">
        <v>5181</v>
      </c>
      <c r="J2499" s="1" t="str">
        <f>HYPERLINK("https://zfin.org/ZDB-GENE-030425-4")</f>
        <v>https://zfin.org/ZDB-GENE-030425-4</v>
      </c>
      <c r="K2499" t="s">
        <v>5183</v>
      </c>
    </row>
    <row r="2500" spans="1:11" x14ac:dyDescent="0.2">
      <c r="A2500">
        <v>1.04376579555466E-10</v>
      </c>
      <c r="B2500">
        <v>0.58210282525237</v>
      </c>
      <c r="C2500">
        <v>0.67100000000000004</v>
      </c>
      <c r="D2500">
        <v>0.32500000000000001</v>
      </c>
      <c r="E2500">
        <v>1.6160625812572801E-6</v>
      </c>
      <c r="F2500">
        <v>4</v>
      </c>
      <c r="G2500" t="s">
        <v>3998</v>
      </c>
      <c r="H2500" t="s">
        <v>3999</v>
      </c>
      <c r="I2500" t="s">
        <v>3998</v>
      </c>
      <c r="J2500" s="1" t="str">
        <f>HYPERLINK("https://zfin.org/ZDB-GENE-020717-1")</f>
        <v>https://zfin.org/ZDB-GENE-020717-1</v>
      </c>
      <c r="K2500" t="s">
        <v>4000</v>
      </c>
    </row>
    <row r="2501" spans="1:11" x14ac:dyDescent="0.2">
      <c r="A2501">
        <v>1.12216853117646E-10</v>
      </c>
      <c r="B2501">
        <v>0.39382782657911702</v>
      </c>
      <c r="C2501">
        <v>0.97499999999999998</v>
      </c>
      <c r="D2501">
        <v>0.96699999999999997</v>
      </c>
      <c r="E2501">
        <v>1.7374535368205099E-6</v>
      </c>
      <c r="F2501">
        <v>4</v>
      </c>
      <c r="G2501" t="s">
        <v>1065</v>
      </c>
      <c r="H2501" t="s">
        <v>1066</v>
      </c>
      <c r="I2501" t="s">
        <v>1065</v>
      </c>
      <c r="J2501" s="1" t="str">
        <f>HYPERLINK("https://zfin.org/ZDB-GENE-020419-25")</f>
        <v>https://zfin.org/ZDB-GENE-020419-25</v>
      </c>
      <c r="K2501" t="s">
        <v>1067</v>
      </c>
    </row>
    <row r="2502" spans="1:11" x14ac:dyDescent="0.2">
      <c r="A2502">
        <v>1.1963831580062799E-10</v>
      </c>
      <c r="B2502">
        <v>0.371370241319957</v>
      </c>
      <c r="C2502">
        <v>0.97499999999999998</v>
      </c>
      <c r="D2502">
        <v>0.94399999999999995</v>
      </c>
      <c r="E2502">
        <v>1.8523600435411201E-6</v>
      </c>
      <c r="F2502">
        <v>4</v>
      </c>
      <c r="G2502" t="s">
        <v>1676</v>
      </c>
      <c r="H2502" t="s">
        <v>1677</v>
      </c>
      <c r="I2502" t="s">
        <v>1676</v>
      </c>
      <c r="J2502" s="1" t="str">
        <f>HYPERLINK("https://zfin.org/ZDB-GENE-030131-2025")</f>
        <v>https://zfin.org/ZDB-GENE-030131-2025</v>
      </c>
      <c r="K2502" t="s">
        <v>1678</v>
      </c>
    </row>
    <row r="2503" spans="1:11" x14ac:dyDescent="0.2">
      <c r="A2503">
        <v>1.24244610731656E-10</v>
      </c>
      <c r="B2503">
        <v>0.48858677225771302</v>
      </c>
      <c r="C2503">
        <v>0.43</v>
      </c>
      <c r="D2503">
        <v>0.155</v>
      </c>
      <c r="E2503">
        <v>1.9236793079582301E-6</v>
      </c>
      <c r="F2503">
        <v>4</v>
      </c>
      <c r="G2503" t="s">
        <v>5519</v>
      </c>
      <c r="H2503" t="s">
        <v>5520</v>
      </c>
      <c r="I2503" t="s">
        <v>5519</v>
      </c>
      <c r="J2503" s="1" t="str">
        <f>HYPERLINK("https://zfin.org/ZDB-GENE-050417-290")</f>
        <v>https://zfin.org/ZDB-GENE-050417-290</v>
      </c>
      <c r="K2503" t="s">
        <v>5521</v>
      </c>
    </row>
    <row r="2504" spans="1:11" x14ac:dyDescent="0.2">
      <c r="A2504">
        <v>1.2513794836446999E-10</v>
      </c>
      <c r="B2504">
        <v>0.65622293902281503</v>
      </c>
      <c r="C2504">
        <v>0.64600000000000002</v>
      </c>
      <c r="D2504">
        <v>0.32800000000000001</v>
      </c>
      <c r="E2504">
        <v>1.9375108545270801E-6</v>
      </c>
      <c r="F2504">
        <v>4</v>
      </c>
      <c r="G2504" t="s">
        <v>5522</v>
      </c>
      <c r="H2504" t="s">
        <v>5523</v>
      </c>
      <c r="I2504" t="s">
        <v>5522</v>
      </c>
      <c r="J2504" s="1" t="str">
        <f>HYPERLINK("https://zfin.org/ZDB-GENE-020419-5")</f>
        <v>https://zfin.org/ZDB-GENE-020419-5</v>
      </c>
      <c r="K2504" t="s">
        <v>5524</v>
      </c>
    </row>
    <row r="2505" spans="1:11" x14ac:dyDescent="0.2">
      <c r="A2505">
        <v>1.3100493677739801E-10</v>
      </c>
      <c r="B2505">
        <v>0.25147713008554801</v>
      </c>
      <c r="C2505">
        <v>0.152</v>
      </c>
      <c r="D2505">
        <v>2.4E-2</v>
      </c>
      <c r="E2505">
        <v>2.0283494361244502E-6</v>
      </c>
      <c r="F2505">
        <v>4</v>
      </c>
      <c r="G2505" t="s">
        <v>5525</v>
      </c>
      <c r="H2505" t="s">
        <v>5526</v>
      </c>
      <c r="I2505" t="s">
        <v>5525</v>
      </c>
      <c r="J2505" s="1" t="str">
        <f>HYPERLINK("https://zfin.org/ZDB-GENE-041210-172")</f>
        <v>https://zfin.org/ZDB-GENE-041210-172</v>
      </c>
      <c r="K2505" t="s">
        <v>5527</v>
      </c>
    </row>
    <row r="2506" spans="1:11" x14ac:dyDescent="0.2">
      <c r="A2506">
        <v>1.3519824814158001E-10</v>
      </c>
      <c r="B2506">
        <v>0.54718891158423999</v>
      </c>
      <c r="C2506">
        <v>0.63300000000000001</v>
      </c>
      <c r="D2506">
        <v>0.29899999999999999</v>
      </c>
      <c r="E2506">
        <v>2.0932744759760799E-6</v>
      </c>
      <c r="F2506">
        <v>4</v>
      </c>
      <c r="G2506" t="s">
        <v>5528</v>
      </c>
      <c r="H2506" t="s">
        <v>5529</v>
      </c>
      <c r="I2506" t="s">
        <v>5528</v>
      </c>
      <c r="J2506" s="1" t="str">
        <f>HYPERLINK("https://zfin.org/ZDB-GENE-080515-6")</f>
        <v>https://zfin.org/ZDB-GENE-080515-6</v>
      </c>
      <c r="K2506" t="s">
        <v>5530</v>
      </c>
    </row>
    <row r="2507" spans="1:11" x14ac:dyDescent="0.2">
      <c r="A2507">
        <v>1.39675648335076E-10</v>
      </c>
      <c r="B2507">
        <v>0.27740523976408799</v>
      </c>
      <c r="C2507">
        <v>0.152</v>
      </c>
      <c r="D2507">
        <v>2.4E-2</v>
      </c>
      <c r="E2507">
        <v>2.16259806317198E-6</v>
      </c>
      <c r="F2507">
        <v>4</v>
      </c>
      <c r="G2507" t="s">
        <v>4747</v>
      </c>
      <c r="H2507" t="s">
        <v>4748</v>
      </c>
      <c r="I2507" t="s">
        <v>4747</v>
      </c>
      <c r="J2507" s="1" t="str">
        <f>HYPERLINK("https://zfin.org/ZDB-GENE-000406-10")</f>
        <v>https://zfin.org/ZDB-GENE-000406-10</v>
      </c>
      <c r="K2507" t="s">
        <v>4749</v>
      </c>
    </row>
    <row r="2508" spans="1:11" x14ac:dyDescent="0.2">
      <c r="A2508">
        <v>1.4327756357540001E-10</v>
      </c>
      <c r="B2508">
        <v>-0.91635021541282102</v>
      </c>
      <c r="C2508">
        <v>0.27800000000000002</v>
      </c>
      <c r="D2508">
        <v>0.61699999999999999</v>
      </c>
      <c r="E2508">
        <v>2.2183665168379099E-6</v>
      </c>
      <c r="F2508">
        <v>4</v>
      </c>
      <c r="G2508" t="s">
        <v>3383</v>
      </c>
      <c r="H2508" t="s">
        <v>3384</v>
      </c>
      <c r="I2508" t="s">
        <v>3383</v>
      </c>
      <c r="J2508" s="1" t="str">
        <f>HYPERLINK("https://zfin.org/ZDB-GENE-030131-4042")</f>
        <v>https://zfin.org/ZDB-GENE-030131-4042</v>
      </c>
      <c r="K2508" t="s">
        <v>3385</v>
      </c>
    </row>
    <row r="2509" spans="1:11" x14ac:dyDescent="0.2">
      <c r="A2509">
        <v>1.4397526867530101E-10</v>
      </c>
      <c r="B2509">
        <v>0.54189621799125998</v>
      </c>
      <c r="C2509">
        <v>0.75900000000000001</v>
      </c>
      <c r="D2509">
        <v>0.436</v>
      </c>
      <c r="E2509">
        <v>2.2291690848996899E-6</v>
      </c>
      <c r="F2509">
        <v>4</v>
      </c>
      <c r="G2509" t="s">
        <v>5098</v>
      </c>
      <c r="H2509" t="s">
        <v>5099</v>
      </c>
      <c r="I2509" t="s">
        <v>5098</v>
      </c>
      <c r="J2509" s="1" t="str">
        <f>HYPERLINK("https://zfin.org/ZDB-GENE-040426-1819")</f>
        <v>https://zfin.org/ZDB-GENE-040426-1819</v>
      </c>
      <c r="K2509" t="s">
        <v>5100</v>
      </c>
    </row>
    <row r="2510" spans="1:11" x14ac:dyDescent="0.2">
      <c r="A2510">
        <v>1.7068074381030599E-10</v>
      </c>
      <c r="B2510">
        <v>0.59854171320053096</v>
      </c>
      <c r="C2510">
        <v>0.69599999999999995</v>
      </c>
      <c r="D2510">
        <v>0.38200000000000001</v>
      </c>
      <c r="E2510">
        <v>2.6426499564149799E-6</v>
      </c>
      <c r="F2510">
        <v>4</v>
      </c>
      <c r="G2510" t="s">
        <v>2957</v>
      </c>
      <c r="H2510" t="s">
        <v>2958</v>
      </c>
      <c r="I2510" t="s">
        <v>2957</v>
      </c>
      <c r="J2510" s="1" t="str">
        <f>HYPERLINK("https://zfin.org/ZDB-GENE-050428-1")</f>
        <v>https://zfin.org/ZDB-GENE-050428-1</v>
      </c>
      <c r="K2510" t="s">
        <v>2959</v>
      </c>
    </row>
    <row r="2511" spans="1:11" x14ac:dyDescent="0.2">
      <c r="A2511">
        <v>1.8116815246755699E-10</v>
      </c>
      <c r="B2511">
        <v>0.43550069801094099</v>
      </c>
      <c r="C2511">
        <v>0.97499999999999998</v>
      </c>
      <c r="D2511">
        <v>0.93600000000000005</v>
      </c>
      <c r="E2511">
        <v>2.8050265046551798E-6</v>
      </c>
      <c r="F2511">
        <v>4</v>
      </c>
      <c r="G2511" t="s">
        <v>4247</v>
      </c>
      <c r="H2511" t="s">
        <v>4248</v>
      </c>
      <c r="I2511" t="s">
        <v>4247</v>
      </c>
      <c r="J2511" s="1" t="str">
        <f>HYPERLINK("https://zfin.org/ZDB-GENE-990415-95")</f>
        <v>https://zfin.org/ZDB-GENE-990415-95</v>
      </c>
      <c r="K2511" t="s">
        <v>4249</v>
      </c>
    </row>
    <row r="2512" spans="1:11" x14ac:dyDescent="0.2">
      <c r="A2512">
        <v>1.83713050891016E-10</v>
      </c>
      <c r="B2512">
        <v>0.399359309185506</v>
      </c>
      <c r="C2512">
        <v>0.96199999999999997</v>
      </c>
      <c r="D2512">
        <v>0.89300000000000002</v>
      </c>
      <c r="E2512">
        <v>2.8444291669456E-6</v>
      </c>
      <c r="F2512">
        <v>4</v>
      </c>
      <c r="G2512" t="s">
        <v>2192</v>
      </c>
      <c r="H2512" t="s">
        <v>2193</v>
      </c>
      <c r="I2512" t="s">
        <v>2192</v>
      </c>
      <c r="J2512" s="1" t="str">
        <f>HYPERLINK("https://zfin.org/ZDB-GENE-030131-8585")</f>
        <v>https://zfin.org/ZDB-GENE-030131-8585</v>
      </c>
      <c r="K2512" t="s">
        <v>2194</v>
      </c>
    </row>
    <row r="2513" spans="1:11" x14ac:dyDescent="0.2">
      <c r="A2513">
        <v>1.89215337392506E-10</v>
      </c>
      <c r="B2513">
        <v>0.37651444414273399</v>
      </c>
      <c r="C2513">
        <v>0.27800000000000002</v>
      </c>
      <c r="D2513">
        <v>7.2999999999999995E-2</v>
      </c>
      <c r="E2513">
        <v>2.9296210688481701E-6</v>
      </c>
      <c r="F2513">
        <v>4</v>
      </c>
      <c r="G2513" t="s">
        <v>5531</v>
      </c>
      <c r="H2513" t="s">
        <v>5532</v>
      </c>
      <c r="I2513" t="s">
        <v>5531</v>
      </c>
      <c r="J2513" s="1" t="str">
        <f>HYPERLINK("https://zfin.org/ZDB-GENE-021206-1")</f>
        <v>https://zfin.org/ZDB-GENE-021206-1</v>
      </c>
      <c r="K2513" t="s">
        <v>5533</v>
      </c>
    </row>
    <row r="2514" spans="1:11" x14ac:dyDescent="0.2">
      <c r="A2514">
        <v>2.3089759885203201E-10</v>
      </c>
      <c r="B2514">
        <v>0.36348540930683698</v>
      </c>
      <c r="C2514">
        <v>0.98699999999999999</v>
      </c>
      <c r="D2514">
        <v>0.97</v>
      </c>
      <c r="E2514">
        <v>3.5749875230260101E-6</v>
      </c>
      <c r="F2514">
        <v>4</v>
      </c>
      <c r="G2514" t="s">
        <v>1456</v>
      </c>
      <c r="H2514" t="s">
        <v>1457</v>
      </c>
      <c r="I2514" t="s">
        <v>1456</v>
      </c>
      <c r="J2514" s="1" t="str">
        <f>HYPERLINK("https://zfin.org/ZDB-GENE-030131-8646")</f>
        <v>https://zfin.org/ZDB-GENE-030131-8646</v>
      </c>
      <c r="K2514" t="s">
        <v>1458</v>
      </c>
    </row>
    <row r="2515" spans="1:11" x14ac:dyDescent="0.2">
      <c r="A2515">
        <v>2.31640183542552E-10</v>
      </c>
      <c r="B2515">
        <v>0.384545386223623</v>
      </c>
      <c r="C2515">
        <v>0.17699999999999999</v>
      </c>
      <c r="D2515">
        <v>3.3000000000000002E-2</v>
      </c>
      <c r="E2515">
        <v>3.5864849617893401E-6</v>
      </c>
      <c r="F2515">
        <v>4</v>
      </c>
      <c r="G2515" t="s">
        <v>4585</v>
      </c>
      <c r="H2515" t="s">
        <v>4586</v>
      </c>
      <c r="I2515" t="s">
        <v>4585</v>
      </c>
      <c r="J2515" s="1" t="str">
        <f>HYPERLINK("https://zfin.org/ZDB-GENE-021115-7")</f>
        <v>https://zfin.org/ZDB-GENE-021115-7</v>
      </c>
      <c r="K2515" t="s">
        <v>4587</v>
      </c>
    </row>
    <row r="2516" spans="1:11" x14ac:dyDescent="0.2">
      <c r="A2516">
        <v>2.32493757948304E-10</v>
      </c>
      <c r="B2516">
        <v>0.57927238455682395</v>
      </c>
      <c r="C2516">
        <v>0.72199999999999998</v>
      </c>
      <c r="D2516">
        <v>0.40400000000000003</v>
      </c>
      <c r="E2516">
        <v>3.5997008543135902E-6</v>
      </c>
      <c r="F2516">
        <v>4</v>
      </c>
      <c r="G2516" t="s">
        <v>5534</v>
      </c>
      <c r="H2516" t="s">
        <v>5535</v>
      </c>
      <c r="I2516" t="s">
        <v>5534</v>
      </c>
      <c r="J2516" s="1" t="str">
        <f>HYPERLINK("https://zfin.org/ZDB-GENE-040914-10")</f>
        <v>https://zfin.org/ZDB-GENE-040914-10</v>
      </c>
      <c r="K2516" t="s">
        <v>5536</v>
      </c>
    </row>
    <row r="2517" spans="1:11" x14ac:dyDescent="0.2">
      <c r="A2517">
        <v>2.3839641849144099E-10</v>
      </c>
      <c r="B2517">
        <v>0.40920729967750302</v>
      </c>
      <c r="C2517">
        <v>0.215</v>
      </c>
      <c r="D2517">
        <v>4.8000000000000001E-2</v>
      </c>
      <c r="E2517">
        <v>3.69109174750298E-6</v>
      </c>
      <c r="F2517">
        <v>4</v>
      </c>
      <c r="G2517" t="s">
        <v>1441</v>
      </c>
      <c r="H2517" t="s">
        <v>1442</v>
      </c>
      <c r="I2517" t="s">
        <v>1441</v>
      </c>
      <c r="J2517" s="1" t="str">
        <f>HYPERLINK("https://zfin.org/ZDB-GENE-020228-2")</f>
        <v>https://zfin.org/ZDB-GENE-020228-2</v>
      </c>
      <c r="K2517" t="s">
        <v>1443</v>
      </c>
    </row>
    <row r="2518" spans="1:11" x14ac:dyDescent="0.2">
      <c r="A2518">
        <v>2.4566801876332002E-10</v>
      </c>
      <c r="B2518">
        <v>-0.90884675060282905</v>
      </c>
      <c r="C2518">
        <v>0.36699999999999999</v>
      </c>
      <c r="D2518">
        <v>0.65700000000000003</v>
      </c>
      <c r="E2518">
        <v>3.80367793451249E-6</v>
      </c>
      <c r="F2518">
        <v>4</v>
      </c>
      <c r="G2518" t="s">
        <v>2401</v>
      </c>
      <c r="H2518" t="s">
        <v>2402</v>
      </c>
      <c r="I2518" t="s">
        <v>2401</v>
      </c>
      <c r="J2518" s="1" t="str">
        <f>HYPERLINK("https://zfin.org/ZDB-GENE-071205-8")</f>
        <v>https://zfin.org/ZDB-GENE-071205-8</v>
      </c>
      <c r="K2518" t="s">
        <v>2403</v>
      </c>
    </row>
    <row r="2519" spans="1:11" x14ac:dyDescent="0.2">
      <c r="A2519">
        <v>2.4601821432985301E-10</v>
      </c>
      <c r="B2519">
        <v>0.51710544840829897</v>
      </c>
      <c r="C2519">
        <v>0.68400000000000005</v>
      </c>
      <c r="D2519">
        <v>0.36099999999999999</v>
      </c>
      <c r="E2519">
        <v>3.80910001246912E-6</v>
      </c>
      <c r="F2519">
        <v>4</v>
      </c>
      <c r="G2519" t="s">
        <v>4945</v>
      </c>
      <c r="H2519" t="s">
        <v>4946</v>
      </c>
      <c r="I2519" t="s">
        <v>4945</v>
      </c>
      <c r="J2519" s="1" t="str">
        <f>HYPERLINK("https://zfin.org/ZDB-GENE-040426-2548")</f>
        <v>https://zfin.org/ZDB-GENE-040426-2548</v>
      </c>
      <c r="K2519" t="s">
        <v>4947</v>
      </c>
    </row>
    <row r="2520" spans="1:11" x14ac:dyDescent="0.2">
      <c r="A2520">
        <v>2.5437716465879998E-10</v>
      </c>
      <c r="B2520">
        <v>-0.43487247988280903</v>
      </c>
      <c r="C2520">
        <v>0.97499999999999998</v>
      </c>
      <c r="D2520">
        <v>0.99199999999999999</v>
      </c>
      <c r="E2520">
        <v>3.9385216404121902E-6</v>
      </c>
      <c r="F2520">
        <v>4</v>
      </c>
      <c r="G2520" t="s">
        <v>800</v>
      </c>
      <c r="H2520" t="s">
        <v>801</v>
      </c>
      <c r="I2520" t="s">
        <v>800</v>
      </c>
      <c r="J2520" s="1" t="str">
        <f>HYPERLINK("https://zfin.org/ZDB-GENE-040426-2209")</f>
        <v>https://zfin.org/ZDB-GENE-040426-2209</v>
      </c>
      <c r="K2520" t="s">
        <v>802</v>
      </c>
    </row>
    <row r="2521" spans="1:11" x14ac:dyDescent="0.2">
      <c r="A2521">
        <v>2.6370247150910099E-10</v>
      </c>
      <c r="B2521">
        <v>0.33793098558692902</v>
      </c>
      <c r="C2521">
        <v>0.30399999999999999</v>
      </c>
      <c r="D2521">
        <v>8.5000000000000006E-2</v>
      </c>
      <c r="E2521">
        <v>4.0829053663754098E-6</v>
      </c>
      <c r="F2521">
        <v>4</v>
      </c>
      <c r="G2521" t="s">
        <v>5537</v>
      </c>
      <c r="H2521" t="s">
        <v>5538</v>
      </c>
      <c r="I2521" t="s">
        <v>5537</v>
      </c>
      <c r="J2521" s="1" t="str">
        <f>HYPERLINK("https://zfin.org/")</f>
        <v>https://zfin.org/</v>
      </c>
      <c r="K2521" t="s">
        <v>5539</v>
      </c>
    </row>
    <row r="2522" spans="1:11" x14ac:dyDescent="0.2">
      <c r="A2522">
        <v>2.6991130960958998E-10</v>
      </c>
      <c r="B2522">
        <v>0.30706350416950401</v>
      </c>
      <c r="C2522">
        <v>0.17699999999999999</v>
      </c>
      <c r="D2522">
        <v>3.3000000000000002E-2</v>
      </c>
      <c r="E2522">
        <v>4.1790368066852903E-6</v>
      </c>
      <c r="F2522">
        <v>4</v>
      </c>
      <c r="G2522" t="s">
        <v>4420</v>
      </c>
      <c r="H2522" t="s">
        <v>4421</v>
      </c>
      <c r="I2522" t="s">
        <v>4420</v>
      </c>
      <c r="J2522" s="1" t="str">
        <f>HYPERLINK("https://zfin.org/ZDB-GENE-040912-160")</f>
        <v>https://zfin.org/ZDB-GENE-040912-160</v>
      </c>
      <c r="K2522" t="s">
        <v>4422</v>
      </c>
    </row>
    <row r="2523" spans="1:11" x14ac:dyDescent="0.2">
      <c r="A2523">
        <v>2.7214410766098201E-10</v>
      </c>
      <c r="B2523">
        <v>0.50139458372182599</v>
      </c>
      <c r="C2523">
        <v>0.73399999999999999</v>
      </c>
      <c r="D2523">
        <v>0.374</v>
      </c>
      <c r="E2523">
        <v>4.2136072189149899E-6</v>
      </c>
      <c r="F2523">
        <v>4</v>
      </c>
      <c r="G2523" t="s">
        <v>5540</v>
      </c>
      <c r="H2523" t="s">
        <v>5541</v>
      </c>
      <c r="I2523" t="s">
        <v>5540</v>
      </c>
      <c r="J2523" s="1" t="str">
        <f>HYPERLINK("https://zfin.org/ZDB-GENE-030131-579")</f>
        <v>https://zfin.org/ZDB-GENE-030131-579</v>
      </c>
      <c r="K2523" t="s">
        <v>5542</v>
      </c>
    </row>
    <row r="2524" spans="1:11" x14ac:dyDescent="0.2">
      <c r="A2524">
        <v>2.8073497973343601E-10</v>
      </c>
      <c r="B2524">
        <v>0.452746913728311</v>
      </c>
      <c r="C2524">
        <v>0.316</v>
      </c>
      <c r="D2524">
        <v>9.4E-2</v>
      </c>
      <c r="E2524">
        <v>4.3466196912127903E-6</v>
      </c>
      <c r="F2524">
        <v>4</v>
      </c>
      <c r="G2524" t="s">
        <v>5543</v>
      </c>
      <c r="H2524" t="s">
        <v>5544</v>
      </c>
      <c r="I2524" t="s">
        <v>5543</v>
      </c>
      <c r="J2524" s="1" t="str">
        <f>HYPERLINK("https://zfin.org/ZDB-GENE-990415-206")</f>
        <v>https://zfin.org/ZDB-GENE-990415-206</v>
      </c>
      <c r="K2524" t="s">
        <v>5545</v>
      </c>
    </row>
    <row r="2525" spans="1:11" x14ac:dyDescent="0.2">
      <c r="A2525">
        <v>2.95557202974218E-10</v>
      </c>
      <c r="B2525">
        <v>0.29795854671884497</v>
      </c>
      <c r="C2525">
        <v>0.13900000000000001</v>
      </c>
      <c r="D2525">
        <v>2.1000000000000001E-2</v>
      </c>
      <c r="E2525">
        <v>4.5761121736498099E-6</v>
      </c>
      <c r="F2525">
        <v>4</v>
      </c>
      <c r="G2525" t="s">
        <v>4906</v>
      </c>
      <c r="H2525" t="s">
        <v>4907</v>
      </c>
      <c r="I2525" t="s">
        <v>4906</v>
      </c>
      <c r="J2525" s="1" t="str">
        <f>HYPERLINK("https://zfin.org/ZDB-GENE-050522-222")</f>
        <v>https://zfin.org/ZDB-GENE-050522-222</v>
      </c>
      <c r="K2525" t="s">
        <v>4908</v>
      </c>
    </row>
    <row r="2526" spans="1:11" x14ac:dyDescent="0.2">
      <c r="A2526">
        <v>2.9569770242400498E-10</v>
      </c>
      <c r="B2526">
        <v>0.39822947369364198</v>
      </c>
      <c r="C2526">
        <v>0.97499999999999998</v>
      </c>
      <c r="D2526">
        <v>0.94899999999999995</v>
      </c>
      <c r="E2526">
        <v>4.5782875266308698E-6</v>
      </c>
      <c r="F2526">
        <v>4</v>
      </c>
      <c r="G2526" t="s">
        <v>2036</v>
      </c>
      <c r="H2526" t="s">
        <v>2037</v>
      </c>
      <c r="I2526" t="s">
        <v>2036</v>
      </c>
      <c r="J2526" s="1" t="str">
        <f>HYPERLINK("https://zfin.org/ZDB-GENE-030131-9092")</f>
        <v>https://zfin.org/ZDB-GENE-030131-9092</v>
      </c>
      <c r="K2526" t="s">
        <v>2038</v>
      </c>
    </row>
    <row r="2527" spans="1:11" x14ac:dyDescent="0.2">
      <c r="A2527">
        <v>3.0687202654879098E-10</v>
      </c>
      <c r="B2527">
        <v>0.29547871452232799</v>
      </c>
      <c r="C2527">
        <v>0.127</v>
      </c>
      <c r="D2527">
        <v>1.7000000000000001E-2</v>
      </c>
      <c r="E2527">
        <v>4.7512995870549403E-6</v>
      </c>
      <c r="F2527">
        <v>4</v>
      </c>
      <c r="G2527" t="s">
        <v>5546</v>
      </c>
      <c r="H2527" t="s">
        <v>5547</v>
      </c>
      <c r="I2527" t="s">
        <v>5546</v>
      </c>
      <c r="J2527" s="1" t="str">
        <f>HYPERLINK("https://zfin.org/ZDB-GENE-070112-2292")</f>
        <v>https://zfin.org/ZDB-GENE-070112-2292</v>
      </c>
      <c r="K2527" t="s">
        <v>5548</v>
      </c>
    </row>
    <row r="2528" spans="1:11" x14ac:dyDescent="0.2">
      <c r="A2528">
        <v>3.1638885790065099E-10</v>
      </c>
      <c r="B2528">
        <v>0.32485727403897302</v>
      </c>
      <c r="C2528">
        <v>0.253</v>
      </c>
      <c r="D2528">
        <v>6.0999999999999999E-2</v>
      </c>
      <c r="E2528">
        <v>4.8986486868757802E-6</v>
      </c>
      <c r="F2528">
        <v>4</v>
      </c>
      <c r="G2528" t="s">
        <v>5549</v>
      </c>
      <c r="H2528" t="s">
        <v>5550</v>
      </c>
      <c r="I2528" t="s">
        <v>5549</v>
      </c>
      <c r="J2528" s="1" t="str">
        <f>HYPERLINK("https://zfin.org/ZDB-GENE-030131-9858")</f>
        <v>https://zfin.org/ZDB-GENE-030131-9858</v>
      </c>
      <c r="K2528" t="s">
        <v>5551</v>
      </c>
    </row>
    <row r="2529" spans="1:11" x14ac:dyDescent="0.2">
      <c r="A2529">
        <v>3.22948700818341E-10</v>
      </c>
      <c r="B2529">
        <v>0.43310285993893799</v>
      </c>
      <c r="C2529">
        <v>0.253</v>
      </c>
      <c r="D2529">
        <v>6.3E-2</v>
      </c>
      <c r="E2529">
        <v>5.0002147347703802E-6</v>
      </c>
      <c r="F2529">
        <v>4</v>
      </c>
      <c r="G2529" t="s">
        <v>3850</v>
      </c>
      <c r="H2529" t="s">
        <v>3851</v>
      </c>
      <c r="I2529" t="s">
        <v>3850</v>
      </c>
      <c r="J2529" s="1" t="str">
        <f>HYPERLINK("https://zfin.org/ZDB-GENE-050419-73")</f>
        <v>https://zfin.org/ZDB-GENE-050419-73</v>
      </c>
      <c r="K2529" t="s">
        <v>3852</v>
      </c>
    </row>
    <row r="2530" spans="1:11" x14ac:dyDescent="0.2">
      <c r="A2530">
        <v>3.4142797297016702E-10</v>
      </c>
      <c r="B2530">
        <v>0.49473403147282102</v>
      </c>
      <c r="C2530">
        <v>0.77200000000000002</v>
      </c>
      <c r="D2530">
        <v>0.49399999999999999</v>
      </c>
      <c r="E2530">
        <v>5.2863293054971003E-6</v>
      </c>
      <c r="F2530">
        <v>4</v>
      </c>
      <c r="G2530" t="s">
        <v>5552</v>
      </c>
      <c r="H2530" t="s">
        <v>5553</v>
      </c>
      <c r="I2530" t="s">
        <v>5552</v>
      </c>
      <c r="J2530" s="1" t="str">
        <f>HYPERLINK("https://zfin.org/ZDB-GENE-030131-5045")</f>
        <v>https://zfin.org/ZDB-GENE-030131-5045</v>
      </c>
      <c r="K2530" t="s">
        <v>5554</v>
      </c>
    </row>
    <row r="2531" spans="1:11" x14ac:dyDescent="0.2">
      <c r="A2531">
        <v>3.67015526245058E-10</v>
      </c>
      <c r="B2531">
        <v>0.41592251675825398</v>
      </c>
      <c r="C2531">
        <v>0.48099999999999998</v>
      </c>
      <c r="D2531">
        <v>0.184</v>
      </c>
      <c r="E2531">
        <v>5.6825013928522297E-6</v>
      </c>
      <c r="F2531">
        <v>4</v>
      </c>
      <c r="G2531" t="s">
        <v>5555</v>
      </c>
      <c r="H2531" t="s">
        <v>5556</v>
      </c>
      <c r="I2531" t="s">
        <v>5555</v>
      </c>
      <c r="J2531" s="1" t="str">
        <f>HYPERLINK("https://zfin.org/ZDB-GENE-020419-31")</f>
        <v>https://zfin.org/ZDB-GENE-020419-31</v>
      </c>
      <c r="K2531" t="s">
        <v>5557</v>
      </c>
    </row>
    <row r="2532" spans="1:11" x14ac:dyDescent="0.2">
      <c r="A2532">
        <v>3.76161332723128E-10</v>
      </c>
      <c r="B2532">
        <v>-0.63114591237473305</v>
      </c>
      <c r="C2532">
        <v>0.84799999999999998</v>
      </c>
      <c r="D2532">
        <v>0.94299999999999995</v>
      </c>
      <c r="E2532">
        <v>5.82410591455219E-6</v>
      </c>
      <c r="F2532">
        <v>4</v>
      </c>
      <c r="G2532" t="s">
        <v>1438</v>
      </c>
      <c r="H2532" t="s">
        <v>1439</v>
      </c>
      <c r="I2532" t="s">
        <v>1438</v>
      </c>
      <c r="J2532" s="1" t="str">
        <f>HYPERLINK("https://zfin.org/ZDB-GENE-030131-1819")</f>
        <v>https://zfin.org/ZDB-GENE-030131-1819</v>
      </c>
      <c r="K2532" t="s">
        <v>1440</v>
      </c>
    </row>
    <row r="2533" spans="1:11" x14ac:dyDescent="0.2">
      <c r="A2533">
        <v>3.7856833250017901E-10</v>
      </c>
      <c r="B2533">
        <v>0.31006136990911798</v>
      </c>
      <c r="C2533">
        <v>0.34200000000000003</v>
      </c>
      <c r="D2533">
        <v>0.1</v>
      </c>
      <c r="E2533">
        <v>5.8613734921002704E-6</v>
      </c>
      <c r="F2533">
        <v>4</v>
      </c>
      <c r="G2533" t="s">
        <v>5558</v>
      </c>
      <c r="H2533" t="s">
        <v>5559</v>
      </c>
      <c r="I2533" t="s">
        <v>5558</v>
      </c>
      <c r="J2533" s="1" t="str">
        <f>HYPERLINK("https://zfin.org/ZDB-GENE-030131-2220")</f>
        <v>https://zfin.org/ZDB-GENE-030131-2220</v>
      </c>
      <c r="K2533" t="s">
        <v>5560</v>
      </c>
    </row>
    <row r="2534" spans="1:11" x14ac:dyDescent="0.2">
      <c r="A2534">
        <v>4.1924931330885403E-10</v>
      </c>
      <c r="B2534">
        <v>0.64346384715292104</v>
      </c>
      <c r="C2534">
        <v>0.83499999999999996</v>
      </c>
      <c r="D2534">
        <v>0.624</v>
      </c>
      <c r="E2534">
        <v>6.4912371179609797E-6</v>
      </c>
      <c r="F2534">
        <v>4</v>
      </c>
      <c r="G2534" t="s">
        <v>5005</v>
      </c>
      <c r="H2534" t="s">
        <v>5006</v>
      </c>
      <c r="I2534" t="s">
        <v>5005</v>
      </c>
      <c r="J2534" s="1" t="str">
        <f>HYPERLINK("https://zfin.org/ZDB-GENE-061027-176")</f>
        <v>https://zfin.org/ZDB-GENE-061027-176</v>
      </c>
      <c r="K2534" t="s">
        <v>5007</v>
      </c>
    </row>
    <row r="2535" spans="1:11" x14ac:dyDescent="0.2">
      <c r="A2535">
        <v>4.4138501653235502E-10</v>
      </c>
      <c r="B2535">
        <v>0.36002902958998201</v>
      </c>
      <c r="C2535">
        <v>0.96199999999999997</v>
      </c>
      <c r="D2535">
        <v>0.92100000000000004</v>
      </c>
      <c r="E2535">
        <v>6.8339642109704504E-6</v>
      </c>
      <c r="F2535">
        <v>4</v>
      </c>
      <c r="G2535" t="s">
        <v>3134</v>
      </c>
      <c r="H2535" t="s">
        <v>3135</v>
      </c>
      <c r="I2535" t="s">
        <v>3134</v>
      </c>
      <c r="J2535" s="1" t="str">
        <f>HYPERLINK("https://zfin.org/ZDB-GENE-030131-8671")</f>
        <v>https://zfin.org/ZDB-GENE-030131-8671</v>
      </c>
      <c r="K2535" t="s">
        <v>3136</v>
      </c>
    </row>
    <row r="2536" spans="1:11" x14ac:dyDescent="0.2">
      <c r="A2536">
        <v>4.9069641297196296E-10</v>
      </c>
      <c r="B2536">
        <v>0.81317069443666401</v>
      </c>
      <c r="C2536">
        <v>0.60799999999999998</v>
      </c>
      <c r="D2536">
        <v>0.32600000000000001</v>
      </c>
      <c r="E2536">
        <v>7.5974525620448997E-6</v>
      </c>
      <c r="F2536">
        <v>4</v>
      </c>
      <c r="G2536" t="s">
        <v>3638</v>
      </c>
      <c r="H2536" t="s">
        <v>3639</v>
      </c>
      <c r="I2536" t="s">
        <v>3638</v>
      </c>
      <c r="J2536" s="1" t="str">
        <f>HYPERLINK("https://zfin.org/ZDB-GENE-060503-618")</f>
        <v>https://zfin.org/ZDB-GENE-060503-618</v>
      </c>
      <c r="K2536" t="s">
        <v>3640</v>
      </c>
    </row>
    <row r="2537" spans="1:11" x14ac:dyDescent="0.2">
      <c r="A2537">
        <v>4.9297432129743198E-10</v>
      </c>
      <c r="B2537">
        <v>0.52131768897564801</v>
      </c>
      <c r="C2537">
        <v>0.51900000000000002</v>
      </c>
      <c r="D2537">
        <v>0.21299999999999999</v>
      </c>
      <c r="E2537">
        <v>7.6327214166481492E-6</v>
      </c>
      <c r="F2537">
        <v>4</v>
      </c>
      <c r="G2537" t="s">
        <v>5561</v>
      </c>
      <c r="H2537" t="s">
        <v>5562</v>
      </c>
      <c r="I2537" t="s">
        <v>5561</v>
      </c>
      <c r="J2537" s="1" t="str">
        <f>HYPERLINK("https://zfin.org/ZDB-GENE-011018-2")</f>
        <v>https://zfin.org/ZDB-GENE-011018-2</v>
      </c>
      <c r="K2537" t="s">
        <v>5563</v>
      </c>
    </row>
    <row r="2538" spans="1:11" x14ac:dyDescent="0.2">
      <c r="A2538">
        <v>4.9939033404287905E-10</v>
      </c>
      <c r="B2538">
        <v>0.32937580420789497</v>
      </c>
      <c r="C2538">
        <v>0.215</v>
      </c>
      <c r="D2538">
        <v>4.8000000000000001E-2</v>
      </c>
      <c r="E2538">
        <v>7.7320605419858904E-6</v>
      </c>
      <c r="F2538">
        <v>4</v>
      </c>
      <c r="G2538" t="s">
        <v>4648</v>
      </c>
      <c r="H2538" t="s">
        <v>4649</v>
      </c>
      <c r="I2538" t="s">
        <v>4648</v>
      </c>
      <c r="J2538" s="1" t="str">
        <f>HYPERLINK("https://zfin.org/ZDB-GENE-100922-200")</f>
        <v>https://zfin.org/ZDB-GENE-100922-200</v>
      </c>
      <c r="K2538" t="s">
        <v>4650</v>
      </c>
    </row>
    <row r="2539" spans="1:11" x14ac:dyDescent="0.2">
      <c r="A2539">
        <v>5.0289572701642105E-10</v>
      </c>
      <c r="B2539">
        <v>0.41970145195941799</v>
      </c>
      <c r="C2539">
        <v>0.34200000000000003</v>
      </c>
      <c r="D2539">
        <v>0.105</v>
      </c>
      <c r="E2539">
        <v>7.7863345413952503E-6</v>
      </c>
      <c r="F2539">
        <v>4</v>
      </c>
      <c r="G2539" t="s">
        <v>4172</v>
      </c>
      <c r="H2539" t="s">
        <v>4173</v>
      </c>
      <c r="I2539" t="s">
        <v>4172</v>
      </c>
      <c r="J2539" s="1" t="str">
        <f>HYPERLINK("https://zfin.org/ZDB-GENE-050417-398")</f>
        <v>https://zfin.org/ZDB-GENE-050417-398</v>
      </c>
      <c r="K2539" t="s">
        <v>4174</v>
      </c>
    </row>
    <row r="2540" spans="1:11" x14ac:dyDescent="0.2">
      <c r="A2540">
        <v>5.2183094772004201E-10</v>
      </c>
      <c r="B2540">
        <v>0.41573852018672702</v>
      </c>
      <c r="C2540">
        <v>0.215</v>
      </c>
      <c r="D2540">
        <v>4.8000000000000001E-2</v>
      </c>
      <c r="E2540">
        <v>8.0795085635494204E-6</v>
      </c>
      <c r="F2540">
        <v>4</v>
      </c>
      <c r="G2540" t="s">
        <v>5564</v>
      </c>
      <c r="H2540" t="s">
        <v>5565</v>
      </c>
      <c r="I2540" t="s">
        <v>5564</v>
      </c>
      <c r="J2540" s="1" t="str">
        <f>HYPERLINK("https://zfin.org/ZDB-GENE-030131-4663")</f>
        <v>https://zfin.org/ZDB-GENE-030131-4663</v>
      </c>
      <c r="K2540" t="s">
        <v>5566</v>
      </c>
    </row>
    <row r="2541" spans="1:11" x14ac:dyDescent="0.2">
      <c r="A2541">
        <v>5.2725525030154604E-10</v>
      </c>
      <c r="B2541">
        <v>0.49964163089260599</v>
      </c>
      <c r="C2541">
        <v>0.40500000000000003</v>
      </c>
      <c r="D2541">
        <v>0.14399999999999999</v>
      </c>
      <c r="E2541">
        <v>8.1634930404188299E-6</v>
      </c>
      <c r="F2541">
        <v>4</v>
      </c>
      <c r="G2541" t="s">
        <v>5567</v>
      </c>
      <c r="H2541" t="s">
        <v>5568</v>
      </c>
      <c r="I2541" t="s">
        <v>5567</v>
      </c>
      <c r="J2541" s="1" t="str">
        <f>HYPERLINK("https://zfin.org/ZDB-GENE-050320-50")</f>
        <v>https://zfin.org/ZDB-GENE-050320-50</v>
      </c>
      <c r="K2541" t="s">
        <v>5569</v>
      </c>
    </row>
    <row r="2542" spans="1:11" x14ac:dyDescent="0.2">
      <c r="A2542">
        <v>5.3744998991084999E-10</v>
      </c>
      <c r="B2542">
        <v>0.41641144503727101</v>
      </c>
      <c r="C2542">
        <v>0.32900000000000001</v>
      </c>
      <c r="D2542">
        <v>0.10100000000000001</v>
      </c>
      <c r="E2542">
        <v>8.3213381937896899E-6</v>
      </c>
      <c r="F2542">
        <v>4</v>
      </c>
      <c r="G2542" t="s">
        <v>5570</v>
      </c>
      <c r="H2542" t="s">
        <v>5571</v>
      </c>
      <c r="I2542" t="s">
        <v>5570</v>
      </c>
      <c r="J2542" s="1" t="str">
        <f>HYPERLINK("https://zfin.org/ZDB-GENE-030131-9837")</f>
        <v>https://zfin.org/ZDB-GENE-030131-9837</v>
      </c>
      <c r="K2542" t="s">
        <v>5572</v>
      </c>
    </row>
    <row r="2543" spans="1:11" x14ac:dyDescent="0.2">
      <c r="A2543">
        <v>5.5560146657460699E-10</v>
      </c>
      <c r="B2543">
        <v>0.35618452478082302</v>
      </c>
      <c r="C2543">
        <v>0.27800000000000002</v>
      </c>
      <c r="D2543">
        <v>7.3999999999999996E-2</v>
      </c>
      <c r="E2543">
        <v>8.6023775069746397E-6</v>
      </c>
      <c r="F2543">
        <v>4</v>
      </c>
      <c r="G2543" t="s">
        <v>5573</v>
      </c>
      <c r="H2543" t="s">
        <v>5574</v>
      </c>
      <c r="I2543" t="s">
        <v>5573</v>
      </c>
      <c r="J2543" s="1" t="str">
        <f>HYPERLINK("https://zfin.org/ZDB-GENE-060810-43")</f>
        <v>https://zfin.org/ZDB-GENE-060810-43</v>
      </c>
      <c r="K2543" t="s">
        <v>5575</v>
      </c>
    </row>
    <row r="2544" spans="1:11" x14ac:dyDescent="0.2">
      <c r="A2544">
        <v>6.0010159608535402E-10</v>
      </c>
      <c r="B2544">
        <v>0.28865702543605898</v>
      </c>
      <c r="C2544">
        <v>0.114</v>
      </c>
      <c r="D2544">
        <v>1.4999999999999999E-2</v>
      </c>
      <c r="E2544">
        <v>9.2913730121895393E-6</v>
      </c>
      <c r="F2544">
        <v>4</v>
      </c>
      <c r="G2544" t="s">
        <v>5576</v>
      </c>
      <c r="H2544" t="s">
        <v>5577</v>
      </c>
      <c r="I2544" t="s">
        <v>5576</v>
      </c>
      <c r="J2544" s="1" t="str">
        <f>HYPERLINK("https://zfin.org/ZDB-GENE-030131-686")</f>
        <v>https://zfin.org/ZDB-GENE-030131-686</v>
      </c>
      <c r="K2544" t="s">
        <v>5578</v>
      </c>
    </row>
    <row r="2545" spans="1:11" x14ac:dyDescent="0.2">
      <c r="A2545">
        <v>6.4066185721616299E-10</v>
      </c>
      <c r="B2545">
        <v>0.56931320397382601</v>
      </c>
      <c r="C2545">
        <v>0.443</v>
      </c>
      <c r="D2545">
        <v>0.16900000000000001</v>
      </c>
      <c r="E2545">
        <v>9.9193675352778394E-6</v>
      </c>
      <c r="F2545">
        <v>4</v>
      </c>
      <c r="G2545" t="s">
        <v>5579</v>
      </c>
      <c r="H2545" t="s">
        <v>5580</v>
      </c>
      <c r="I2545" t="s">
        <v>5579</v>
      </c>
      <c r="J2545" s="1" t="str">
        <f>HYPERLINK("https://zfin.org/ZDB-GENE-060929-604")</f>
        <v>https://zfin.org/ZDB-GENE-060929-604</v>
      </c>
      <c r="K2545" t="s">
        <v>5581</v>
      </c>
    </row>
    <row r="2546" spans="1:11" x14ac:dyDescent="0.2">
      <c r="A2546">
        <v>6.9104795901209801E-10</v>
      </c>
      <c r="B2546">
        <v>0.59539692362361096</v>
      </c>
      <c r="C2546">
        <v>0.69599999999999995</v>
      </c>
      <c r="D2546">
        <v>0.39600000000000002</v>
      </c>
      <c r="E2546">
        <v>1.06994955493843E-5</v>
      </c>
      <c r="F2546">
        <v>4</v>
      </c>
      <c r="G2546" t="s">
        <v>5582</v>
      </c>
      <c r="H2546" t="s">
        <v>5583</v>
      </c>
      <c r="I2546" t="s">
        <v>5582</v>
      </c>
      <c r="J2546" s="1" t="str">
        <f>HYPERLINK("https://zfin.org/ZDB-GENE-030131-4275")</f>
        <v>https://zfin.org/ZDB-GENE-030131-4275</v>
      </c>
      <c r="K2546" t="s">
        <v>5584</v>
      </c>
    </row>
    <row r="2547" spans="1:11" x14ac:dyDescent="0.2">
      <c r="A2547">
        <v>7.0162972935717605E-10</v>
      </c>
      <c r="B2547">
        <v>0.43917932019510098</v>
      </c>
      <c r="C2547">
        <v>0.32900000000000001</v>
      </c>
      <c r="D2547">
        <v>0.10299999999999999</v>
      </c>
      <c r="E2547">
        <v>1.0863333099637201E-5</v>
      </c>
      <c r="F2547">
        <v>4</v>
      </c>
      <c r="G2547" t="s">
        <v>5127</v>
      </c>
      <c r="H2547" t="s">
        <v>5128</v>
      </c>
      <c r="I2547" t="s">
        <v>5127</v>
      </c>
      <c r="J2547" s="1" t="str">
        <f>HYPERLINK("https://zfin.org/ZDB-GENE-030131-263")</f>
        <v>https://zfin.org/ZDB-GENE-030131-263</v>
      </c>
      <c r="K2547" t="s">
        <v>5129</v>
      </c>
    </row>
    <row r="2548" spans="1:11" x14ac:dyDescent="0.2">
      <c r="A2548">
        <v>7.1212821323587399E-10</v>
      </c>
      <c r="B2548">
        <v>0.27589343842707797</v>
      </c>
      <c r="C2548">
        <v>0.17699999999999999</v>
      </c>
      <c r="D2548">
        <v>3.4000000000000002E-2</v>
      </c>
      <c r="E2548">
        <v>1.1025881125531E-5</v>
      </c>
      <c r="F2548">
        <v>4</v>
      </c>
      <c r="G2548" t="s">
        <v>4829</v>
      </c>
      <c r="H2548" t="s">
        <v>4830</v>
      </c>
      <c r="I2548" t="s">
        <v>4829</v>
      </c>
      <c r="J2548" s="1" t="str">
        <f>HYPERLINK("https://zfin.org/ZDB-GENE-040721-1")</f>
        <v>https://zfin.org/ZDB-GENE-040721-1</v>
      </c>
      <c r="K2548" t="s">
        <v>4831</v>
      </c>
    </row>
    <row r="2549" spans="1:11" x14ac:dyDescent="0.2">
      <c r="A2549">
        <v>7.6785763939167701E-10</v>
      </c>
      <c r="B2549">
        <v>0.42234584686007898</v>
      </c>
      <c r="C2549">
        <v>0.41799999999999998</v>
      </c>
      <c r="D2549">
        <v>0.14899999999999999</v>
      </c>
      <c r="E2549">
        <v>1.18887398307013E-5</v>
      </c>
      <c r="F2549">
        <v>4</v>
      </c>
      <c r="G2549" t="s">
        <v>5585</v>
      </c>
      <c r="H2549" t="s">
        <v>5586</v>
      </c>
      <c r="I2549" t="s">
        <v>5585</v>
      </c>
      <c r="J2549" s="1" t="str">
        <f>HYPERLINK("https://zfin.org/ZDB-GENE-040426-1415")</f>
        <v>https://zfin.org/ZDB-GENE-040426-1415</v>
      </c>
      <c r="K2549" t="s">
        <v>5587</v>
      </c>
    </row>
    <row r="2550" spans="1:11" x14ac:dyDescent="0.2">
      <c r="A2550">
        <v>7.6907438978005798E-10</v>
      </c>
      <c r="B2550">
        <v>0.38199985591688901</v>
      </c>
      <c r="C2550">
        <v>0.29099999999999998</v>
      </c>
      <c r="D2550">
        <v>8.2000000000000003E-2</v>
      </c>
      <c r="E2550">
        <v>1.1907578776964601E-5</v>
      </c>
      <c r="F2550">
        <v>4</v>
      </c>
      <c r="G2550" t="s">
        <v>5588</v>
      </c>
      <c r="H2550" t="s">
        <v>5589</v>
      </c>
      <c r="I2550" t="s">
        <v>5588</v>
      </c>
      <c r="J2550" s="1" t="str">
        <f>HYPERLINK("https://zfin.org/ZDB-GENE-050417-142")</f>
        <v>https://zfin.org/ZDB-GENE-050417-142</v>
      </c>
      <c r="K2550" t="s">
        <v>5590</v>
      </c>
    </row>
    <row r="2551" spans="1:11" x14ac:dyDescent="0.2">
      <c r="A2551">
        <v>8.4610570423863999E-10</v>
      </c>
      <c r="B2551">
        <v>0.31849575824381998</v>
      </c>
      <c r="C2551">
        <v>0.152</v>
      </c>
      <c r="D2551">
        <v>2.5999999999999999E-2</v>
      </c>
      <c r="E2551">
        <v>1.31002546187269E-5</v>
      </c>
      <c r="F2551">
        <v>4</v>
      </c>
      <c r="G2551" t="s">
        <v>4696</v>
      </c>
      <c r="H2551" t="s">
        <v>4697</v>
      </c>
      <c r="I2551" t="s">
        <v>4696</v>
      </c>
      <c r="J2551" s="1" t="str">
        <f>HYPERLINK("https://zfin.org/ZDB-GENE-070912-20")</f>
        <v>https://zfin.org/ZDB-GENE-070912-20</v>
      </c>
      <c r="K2551" t="s">
        <v>4698</v>
      </c>
    </row>
    <row r="2552" spans="1:11" x14ac:dyDescent="0.2">
      <c r="A2552">
        <v>8.6818316651680898E-10</v>
      </c>
      <c r="B2552">
        <v>0.326651017157368</v>
      </c>
      <c r="C2552">
        <v>0.34200000000000003</v>
      </c>
      <c r="D2552">
        <v>0.10299999999999999</v>
      </c>
      <c r="E2552">
        <v>1.3442079967179801E-5</v>
      </c>
      <c r="F2552">
        <v>4</v>
      </c>
      <c r="G2552" t="s">
        <v>5591</v>
      </c>
      <c r="H2552" t="s">
        <v>5592</v>
      </c>
      <c r="I2552" t="s">
        <v>5591</v>
      </c>
      <c r="J2552" s="1" t="str">
        <f>HYPERLINK("https://zfin.org/ZDB-GENE-040426-1287")</f>
        <v>https://zfin.org/ZDB-GENE-040426-1287</v>
      </c>
      <c r="K2552" t="s">
        <v>5593</v>
      </c>
    </row>
    <row r="2553" spans="1:11" x14ac:dyDescent="0.2">
      <c r="A2553">
        <v>8.95000818560055E-10</v>
      </c>
      <c r="B2553">
        <v>0.90531320128158199</v>
      </c>
      <c r="C2553">
        <v>0.77200000000000002</v>
      </c>
      <c r="D2553">
        <v>0.55200000000000005</v>
      </c>
      <c r="E2553">
        <v>1.3857297673765301E-5</v>
      </c>
      <c r="F2553">
        <v>4</v>
      </c>
      <c r="G2553" t="s">
        <v>3733</v>
      </c>
      <c r="H2553" t="s">
        <v>3734</v>
      </c>
      <c r="I2553" t="s">
        <v>3733</v>
      </c>
      <c r="J2553" s="1" t="str">
        <f>HYPERLINK("https://zfin.org/ZDB-GENE-010502-1")</f>
        <v>https://zfin.org/ZDB-GENE-010502-1</v>
      </c>
      <c r="K2553" t="s">
        <v>3735</v>
      </c>
    </row>
    <row r="2554" spans="1:11" x14ac:dyDescent="0.2">
      <c r="A2554">
        <v>9.2364508535567002E-10</v>
      </c>
      <c r="B2554">
        <v>0.352350028098179</v>
      </c>
      <c r="C2554">
        <v>0.13900000000000001</v>
      </c>
      <c r="D2554">
        <v>2.1999999999999999E-2</v>
      </c>
      <c r="E2554">
        <v>1.43007968565618E-5</v>
      </c>
      <c r="F2554">
        <v>4</v>
      </c>
      <c r="G2554" t="s">
        <v>5286</v>
      </c>
      <c r="H2554" t="s">
        <v>5287</v>
      </c>
      <c r="I2554" t="s">
        <v>5286</v>
      </c>
      <c r="J2554" s="1" t="str">
        <f>HYPERLINK("https://zfin.org/ZDB-GENE-030131-2581")</f>
        <v>https://zfin.org/ZDB-GENE-030131-2581</v>
      </c>
      <c r="K2554" t="s">
        <v>5288</v>
      </c>
    </row>
    <row r="2555" spans="1:11" x14ac:dyDescent="0.2">
      <c r="A2555">
        <v>9.2897288134714795E-10</v>
      </c>
      <c r="B2555">
        <v>0.288882897033232</v>
      </c>
      <c r="C2555">
        <v>0.13900000000000001</v>
      </c>
      <c r="D2555">
        <v>2.1999999999999999E-2</v>
      </c>
      <c r="E2555">
        <v>1.43832871218979E-5</v>
      </c>
      <c r="F2555">
        <v>4</v>
      </c>
      <c r="G2555" t="s">
        <v>4561</v>
      </c>
      <c r="H2555" t="s">
        <v>4562</v>
      </c>
      <c r="I2555" t="s">
        <v>4561</v>
      </c>
      <c r="J2555" s="1" t="str">
        <f>HYPERLINK("https://zfin.org/ZDB-GENE-030131-5105")</f>
        <v>https://zfin.org/ZDB-GENE-030131-5105</v>
      </c>
      <c r="K2555" t="s">
        <v>4563</v>
      </c>
    </row>
    <row r="2556" spans="1:11" x14ac:dyDescent="0.2">
      <c r="A2556">
        <v>1.0109830729292899E-9</v>
      </c>
      <c r="B2556">
        <v>-0.52238788610378395</v>
      </c>
      <c r="C2556">
        <v>0.83499999999999996</v>
      </c>
      <c r="D2556">
        <v>0.93500000000000005</v>
      </c>
      <c r="E2556">
        <v>1.56530509181642E-5</v>
      </c>
      <c r="F2556">
        <v>4</v>
      </c>
      <c r="G2556" t="s">
        <v>2171</v>
      </c>
      <c r="H2556" t="s">
        <v>2172</v>
      </c>
      <c r="I2556" t="s">
        <v>2171</v>
      </c>
      <c r="J2556" s="1" t="str">
        <f>HYPERLINK("https://zfin.org/ZDB-GENE-030131-8417")</f>
        <v>https://zfin.org/ZDB-GENE-030131-8417</v>
      </c>
      <c r="K2556" t="s">
        <v>2173</v>
      </c>
    </row>
    <row r="2557" spans="1:11" x14ac:dyDescent="0.2">
      <c r="A2557">
        <v>1.0186848809826999E-9</v>
      </c>
      <c r="B2557">
        <v>0.46760942749481899</v>
      </c>
      <c r="C2557">
        <v>0.51900000000000002</v>
      </c>
      <c r="D2557">
        <v>0.21099999999999999</v>
      </c>
      <c r="E2557">
        <v>1.5772298012255099E-5</v>
      </c>
      <c r="F2557">
        <v>4</v>
      </c>
      <c r="G2557" t="s">
        <v>5594</v>
      </c>
      <c r="H2557" t="s">
        <v>5595</v>
      </c>
      <c r="I2557" t="s">
        <v>5594</v>
      </c>
      <c r="J2557" s="1" t="str">
        <f>HYPERLINK("https://zfin.org/ZDB-GENE-040426-2609")</f>
        <v>https://zfin.org/ZDB-GENE-040426-2609</v>
      </c>
      <c r="K2557" t="s">
        <v>5596</v>
      </c>
    </row>
    <row r="2558" spans="1:11" x14ac:dyDescent="0.2">
      <c r="A2558">
        <v>1.2608836659447099E-9</v>
      </c>
      <c r="B2558">
        <v>0.370665684243773</v>
      </c>
      <c r="C2558">
        <v>0.27800000000000002</v>
      </c>
      <c r="D2558">
        <v>7.8E-2</v>
      </c>
      <c r="E2558">
        <v>1.9522261799821998E-5</v>
      </c>
      <c r="F2558">
        <v>4</v>
      </c>
      <c r="G2558" t="s">
        <v>5271</v>
      </c>
      <c r="H2558" t="s">
        <v>5272</v>
      </c>
      <c r="I2558" t="s">
        <v>5271</v>
      </c>
      <c r="J2558" s="1" t="str">
        <f>HYPERLINK("https://zfin.org/ZDB-GENE-020419-13")</f>
        <v>https://zfin.org/ZDB-GENE-020419-13</v>
      </c>
      <c r="K2558" t="s">
        <v>5273</v>
      </c>
    </row>
    <row r="2559" spans="1:11" x14ac:dyDescent="0.2">
      <c r="A2559">
        <v>1.3014107785697701E-9</v>
      </c>
      <c r="B2559">
        <v>-0.78544862624033496</v>
      </c>
      <c r="C2559">
        <v>0.56999999999999995</v>
      </c>
      <c r="D2559">
        <v>0.75700000000000001</v>
      </c>
      <c r="E2559">
        <v>2.0149743084595802E-5</v>
      </c>
      <c r="F2559">
        <v>4</v>
      </c>
      <c r="G2559" t="s">
        <v>2482</v>
      </c>
      <c r="H2559" t="s">
        <v>2483</v>
      </c>
      <c r="I2559" t="s">
        <v>2482</v>
      </c>
      <c r="J2559" s="1" t="str">
        <f>HYPERLINK("https://zfin.org/ZDB-GENE-030826-15")</f>
        <v>https://zfin.org/ZDB-GENE-030826-15</v>
      </c>
      <c r="K2559" t="s">
        <v>2484</v>
      </c>
    </row>
    <row r="2560" spans="1:11" x14ac:dyDescent="0.2">
      <c r="A2560">
        <v>1.3699232065577301E-9</v>
      </c>
      <c r="B2560">
        <v>0.298548187290537</v>
      </c>
      <c r="C2560">
        <v>0.19</v>
      </c>
      <c r="D2560">
        <v>0.04</v>
      </c>
      <c r="E2560">
        <v>2.12105210071334E-5</v>
      </c>
      <c r="F2560">
        <v>4</v>
      </c>
      <c r="G2560" t="s">
        <v>4999</v>
      </c>
      <c r="H2560" t="s">
        <v>5000</v>
      </c>
      <c r="I2560" t="s">
        <v>4999</v>
      </c>
      <c r="J2560" s="1" t="str">
        <f>HYPERLINK("https://zfin.org/ZDB-GENE-030131-607")</f>
        <v>https://zfin.org/ZDB-GENE-030131-607</v>
      </c>
      <c r="K2560" t="s">
        <v>5001</v>
      </c>
    </row>
    <row r="2561" spans="1:11" x14ac:dyDescent="0.2">
      <c r="A2561">
        <v>1.3705755246433299E-9</v>
      </c>
      <c r="B2561">
        <v>-1.1079830839529501</v>
      </c>
      <c r="C2561">
        <v>0.22800000000000001</v>
      </c>
      <c r="D2561">
        <v>0.54900000000000004</v>
      </c>
      <c r="E2561">
        <v>2.12206208480527E-5</v>
      </c>
      <c r="F2561">
        <v>4</v>
      </c>
      <c r="G2561" t="s">
        <v>2793</v>
      </c>
      <c r="H2561" t="s">
        <v>2794</v>
      </c>
      <c r="I2561" t="s">
        <v>2793</v>
      </c>
      <c r="J2561" s="1" t="str">
        <f>HYPERLINK("https://zfin.org/ZDB-GENE-050320-109")</f>
        <v>https://zfin.org/ZDB-GENE-050320-109</v>
      </c>
      <c r="K2561" t="s">
        <v>2795</v>
      </c>
    </row>
    <row r="2562" spans="1:11" x14ac:dyDescent="0.2">
      <c r="A2562">
        <v>1.40733837640005E-9</v>
      </c>
      <c r="B2562">
        <v>0.52892348241843201</v>
      </c>
      <c r="C2562">
        <v>0.65800000000000003</v>
      </c>
      <c r="D2562">
        <v>0.33400000000000002</v>
      </c>
      <c r="E2562">
        <v>2.1789820081802001E-5</v>
      </c>
      <c r="F2562">
        <v>4</v>
      </c>
      <c r="G2562" t="s">
        <v>5597</v>
      </c>
      <c r="H2562" t="s">
        <v>5598</v>
      </c>
      <c r="I2562" t="s">
        <v>5597</v>
      </c>
      <c r="J2562" s="1" t="str">
        <f>HYPERLINK("https://zfin.org/ZDB-GENE-040718-353")</f>
        <v>https://zfin.org/ZDB-GENE-040718-353</v>
      </c>
      <c r="K2562" t="s">
        <v>5599</v>
      </c>
    </row>
    <row r="2563" spans="1:11" x14ac:dyDescent="0.2">
      <c r="A2563">
        <v>1.4541289863406701E-9</v>
      </c>
      <c r="B2563">
        <v>0.48375806090462098</v>
      </c>
      <c r="C2563">
        <v>0.16500000000000001</v>
      </c>
      <c r="D2563">
        <v>3.2000000000000001E-2</v>
      </c>
      <c r="E2563">
        <v>2.2514279095512599E-5</v>
      </c>
      <c r="F2563">
        <v>4</v>
      </c>
      <c r="G2563" t="s">
        <v>5600</v>
      </c>
      <c r="H2563" t="s">
        <v>5601</v>
      </c>
      <c r="I2563" t="s">
        <v>5600</v>
      </c>
      <c r="J2563" s="1" t="str">
        <f>HYPERLINK("https://zfin.org/ZDB-GENE-070424-21")</f>
        <v>https://zfin.org/ZDB-GENE-070424-21</v>
      </c>
      <c r="K2563" t="s">
        <v>5602</v>
      </c>
    </row>
    <row r="2564" spans="1:11" x14ac:dyDescent="0.2">
      <c r="A2564">
        <v>1.4911086541327801E-9</v>
      </c>
      <c r="B2564">
        <v>0.47589683634315899</v>
      </c>
      <c r="C2564">
        <v>0.24099999999999999</v>
      </c>
      <c r="D2564">
        <v>6.2E-2</v>
      </c>
      <c r="E2564">
        <v>2.3086835291937799E-5</v>
      </c>
      <c r="F2564">
        <v>4</v>
      </c>
      <c r="G2564" t="s">
        <v>4292</v>
      </c>
      <c r="H2564" t="s">
        <v>4293</v>
      </c>
      <c r="I2564" t="s">
        <v>4292</v>
      </c>
      <c r="J2564" s="1" t="str">
        <f>HYPERLINK("https://zfin.org/ZDB-GENE-040801-112")</f>
        <v>https://zfin.org/ZDB-GENE-040801-112</v>
      </c>
      <c r="K2564" t="s">
        <v>4294</v>
      </c>
    </row>
    <row r="2565" spans="1:11" x14ac:dyDescent="0.2">
      <c r="A2565">
        <v>1.5538299746655299E-9</v>
      </c>
      <c r="B2565">
        <v>0.66502536074638097</v>
      </c>
      <c r="C2565">
        <v>0.91100000000000003</v>
      </c>
      <c r="D2565">
        <v>0.83299999999999996</v>
      </c>
      <c r="E2565">
        <v>2.4057949497746399E-5</v>
      </c>
      <c r="F2565">
        <v>4</v>
      </c>
      <c r="G2565" t="s">
        <v>3389</v>
      </c>
      <c r="H2565" t="s">
        <v>3390</v>
      </c>
      <c r="I2565" t="s">
        <v>3389</v>
      </c>
      <c r="J2565" s="1" t="str">
        <f>HYPERLINK("https://zfin.org/ZDB-GENE-030131-8625")</f>
        <v>https://zfin.org/ZDB-GENE-030131-8625</v>
      </c>
      <c r="K2565" t="s">
        <v>3391</v>
      </c>
    </row>
    <row r="2566" spans="1:11" x14ac:dyDescent="0.2">
      <c r="A2566">
        <v>1.5823326029914901E-9</v>
      </c>
      <c r="B2566">
        <v>0.30771781008832999</v>
      </c>
      <c r="C2566">
        <v>0.253</v>
      </c>
      <c r="D2566">
        <v>6.4000000000000001E-2</v>
      </c>
      <c r="E2566">
        <v>2.4499255692117199E-5</v>
      </c>
      <c r="F2566">
        <v>4</v>
      </c>
      <c r="G2566" t="s">
        <v>5077</v>
      </c>
      <c r="H2566" t="s">
        <v>5078</v>
      </c>
      <c r="I2566" t="s">
        <v>5077</v>
      </c>
      <c r="J2566" s="1" t="str">
        <f>HYPERLINK("https://zfin.org/ZDB-GENE-040912-99")</f>
        <v>https://zfin.org/ZDB-GENE-040912-99</v>
      </c>
      <c r="K2566" t="s">
        <v>5079</v>
      </c>
    </row>
    <row r="2567" spans="1:11" x14ac:dyDescent="0.2">
      <c r="A2567">
        <v>1.64446609062162E-9</v>
      </c>
      <c r="B2567">
        <v>0.41730722313658303</v>
      </c>
      <c r="C2567">
        <v>0.70899999999999996</v>
      </c>
      <c r="D2567">
        <v>0.34300000000000003</v>
      </c>
      <c r="E2567">
        <v>2.5461268481094601E-5</v>
      </c>
      <c r="F2567">
        <v>4</v>
      </c>
      <c r="G2567" t="s">
        <v>5603</v>
      </c>
      <c r="H2567" t="s">
        <v>5604</v>
      </c>
      <c r="I2567" t="s">
        <v>5603</v>
      </c>
      <c r="J2567" s="1" t="str">
        <f>HYPERLINK("https://zfin.org/ZDB-GENE-980605-16")</f>
        <v>https://zfin.org/ZDB-GENE-980605-16</v>
      </c>
      <c r="K2567" t="s">
        <v>5605</v>
      </c>
    </row>
    <row r="2568" spans="1:11" x14ac:dyDescent="0.2">
      <c r="A2568">
        <v>1.67247339716872E-9</v>
      </c>
      <c r="B2568">
        <v>-0.93324818281018196</v>
      </c>
      <c r="C2568">
        <v>0.26600000000000001</v>
      </c>
      <c r="D2568">
        <v>0.55700000000000005</v>
      </c>
      <c r="E2568">
        <v>2.58949056083633E-5</v>
      </c>
      <c r="F2568">
        <v>4</v>
      </c>
      <c r="G2568" t="s">
        <v>2090</v>
      </c>
      <c r="H2568" t="s">
        <v>2091</v>
      </c>
      <c r="I2568" t="s">
        <v>2090</v>
      </c>
      <c r="J2568" s="1" t="str">
        <f>HYPERLINK("https://zfin.org/ZDB-GENE-030131-8541")</f>
        <v>https://zfin.org/ZDB-GENE-030131-8541</v>
      </c>
      <c r="K2568" t="s">
        <v>2092</v>
      </c>
    </row>
    <row r="2569" spans="1:11" x14ac:dyDescent="0.2">
      <c r="A2569">
        <v>1.75060921018214E-9</v>
      </c>
      <c r="B2569">
        <v>0.65651812119436703</v>
      </c>
      <c r="C2569">
        <v>1</v>
      </c>
      <c r="D2569">
        <v>0.94599999999999995</v>
      </c>
      <c r="E2569">
        <v>2.7104682401250101E-5</v>
      </c>
      <c r="F2569">
        <v>4</v>
      </c>
      <c r="G2569" t="s">
        <v>5606</v>
      </c>
      <c r="H2569" t="s">
        <v>5607</v>
      </c>
      <c r="I2569" t="s">
        <v>5606</v>
      </c>
      <c r="J2569" s="1" t="str">
        <f>HYPERLINK("https://zfin.org/")</f>
        <v>https://zfin.org/</v>
      </c>
    </row>
    <row r="2570" spans="1:11" x14ac:dyDescent="0.2">
      <c r="A2570">
        <v>1.75971462784631E-9</v>
      </c>
      <c r="B2570">
        <v>0.32258230298721502</v>
      </c>
      <c r="C2570">
        <v>0.16500000000000001</v>
      </c>
      <c r="D2570">
        <v>3.1E-2</v>
      </c>
      <c r="E2570">
        <v>2.7245661582944401E-5</v>
      </c>
      <c r="F2570">
        <v>4</v>
      </c>
      <c r="G2570" t="s">
        <v>5608</v>
      </c>
      <c r="H2570" t="s">
        <v>5609</v>
      </c>
      <c r="I2570" t="s">
        <v>5608</v>
      </c>
      <c r="J2570" s="1" t="str">
        <f>HYPERLINK("https://zfin.org/ZDB-GENE-030131-6300")</f>
        <v>https://zfin.org/ZDB-GENE-030131-6300</v>
      </c>
      <c r="K2570" t="s">
        <v>5610</v>
      </c>
    </row>
    <row r="2571" spans="1:11" x14ac:dyDescent="0.2">
      <c r="A2571">
        <v>1.78847373120134E-9</v>
      </c>
      <c r="B2571">
        <v>0.32434250971770601</v>
      </c>
      <c r="C2571">
        <v>0.152</v>
      </c>
      <c r="D2571">
        <v>2.5999999999999999E-2</v>
      </c>
      <c r="E2571">
        <v>2.7690938780190301E-5</v>
      </c>
      <c r="F2571">
        <v>4</v>
      </c>
      <c r="G2571" t="s">
        <v>5611</v>
      </c>
      <c r="H2571" t="s">
        <v>5612</v>
      </c>
      <c r="I2571" t="s">
        <v>5611</v>
      </c>
      <c r="J2571" s="1" t="str">
        <f>HYPERLINK("https://zfin.org/ZDB-GENE-050913-77")</f>
        <v>https://zfin.org/ZDB-GENE-050913-77</v>
      </c>
      <c r="K2571" t="s">
        <v>5613</v>
      </c>
    </row>
    <row r="2572" spans="1:11" x14ac:dyDescent="0.2">
      <c r="A2572">
        <v>1.85601438543921E-9</v>
      </c>
      <c r="B2572">
        <v>-0.82992576006184504</v>
      </c>
      <c r="C2572">
        <v>0.27800000000000002</v>
      </c>
      <c r="D2572">
        <v>0.55800000000000005</v>
      </c>
      <c r="E2572">
        <v>2.87366707297553E-5</v>
      </c>
      <c r="F2572">
        <v>4</v>
      </c>
      <c r="G2572" t="s">
        <v>3260</v>
      </c>
      <c r="H2572" t="s">
        <v>3261</v>
      </c>
      <c r="I2572" t="s">
        <v>3260</v>
      </c>
      <c r="J2572" s="1" t="str">
        <f>HYPERLINK("https://zfin.org/ZDB-GENE-030131-5215")</f>
        <v>https://zfin.org/ZDB-GENE-030131-5215</v>
      </c>
      <c r="K2572" t="s">
        <v>3262</v>
      </c>
    </row>
    <row r="2573" spans="1:11" x14ac:dyDescent="0.2">
      <c r="A2573">
        <v>1.9703867521789001E-9</v>
      </c>
      <c r="B2573">
        <v>0.393175360582106</v>
      </c>
      <c r="C2573">
        <v>0.96199999999999997</v>
      </c>
      <c r="D2573">
        <v>0.95299999999999996</v>
      </c>
      <c r="E2573">
        <v>3.0507498083985899E-5</v>
      </c>
      <c r="F2573">
        <v>4</v>
      </c>
      <c r="G2573" t="s">
        <v>1988</v>
      </c>
      <c r="H2573" t="s">
        <v>1989</v>
      </c>
      <c r="I2573" t="s">
        <v>1988</v>
      </c>
      <c r="J2573" s="1" t="str">
        <f>HYPERLINK("https://zfin.org/ZDB-GENE-040426-1718")</f>
        <v>https://zfin.org/ZDB-GENE-040426-1718</v>
      </c>
      <c r="K2573" t="s">
        <v>1990</v>
      </c>
    </row>
    <row r="2574" spans="1:11" x14ac:dyDescent="0.2">
      <c r="A2574">
        <v>2.22218312765775E-9</v>
      </c>
      <c r="B2574">
        <v>0.48638418752768098</v>
      </c>
      <c r="C2574">
        <v>0.24099999999999999</v>
      </c>
      <c r="D2574">
        <v>6.3E-2</v>
      </c>
      <c r="E2574">
        <v>3.4406061365524901E-5</v>
      </c>
      <c r="F2574">
        <v>4</v>
      </c>
      <c r="G2574" t="s">
        <v>5614</v>
      </c>
      <c r="H2574" t="s">
        <v>5615</v>
      </c>
      <c r="I2574" t="s">
        <v>5614</v>
      </c>
      <c r="J2574" s="1" t="str">
        <f>HYPERLINK("https://zfin.org/ZDB-GENE-131121-245")</f>
        <v>https://zfin.org/ZDB-GENE-131121-245</v>
      </c>
      <c r="K2574" t="s">
        <v>5616</v>
      </c>
    </row>
    <row r="2575" spans="1:11" x14ac:dyDescent="0.2">
      <c r="A2575">
        <v>2.2264501314683298E-9</v>
      </c>
      <c r="B2575">
        <v>-0.97759101763329004</v>
      </c>
      <c r="C2575">
        <v>0.253</v>
      </c>
      <c r="D2575">
        <v>0.54600000000000004</v>
      </c>
      <c r="E2575">
        <v>3.4472127385524097E-5</v>
      </c>
      <c r="F2575">
        <v>4</v>
      </c>
      <c r="G2575" t="s">
        <v>3218</v>
      </c>
      <c r="H2575" t="s">
        <v>3219</v>
      </c>
      <c r="I2575" t="s">
        <v>3218</v>
      </c>
      <c r="J2575" s="1" t="str">
        <f>HYPERLINK("https://zfin.org/ZDB-GENE-040426-2151")</f>
        <v>https://zfin.org/ZDB-GENE-040426-2151</v>
      </c>
      <c r="K2575" t="s">
        <v>3220</v>
      </c>
    </row>
    <row r="2576" spans="1:11" x14ac:dyDescent="0.2">
      <c r="A2576">
        <v>2.51026689215726E-9</v>
      </c>
      <c r="B2576">
        <v>0.29273346337178402</v>
      </c>
      <c r="C2576">
        <v>0.13900000000000001</v>
      </c>
      <c r="D2576">
        <v>2.3E-2</v>
      </c>
      <c r="E2576">
        <v>3.8866462291270799E-5</v>
      </c>
      <c r="F2576">
        <v>4</v>
      </c>
      <c r="G2576" t="s">
        <v>5617</v>
      </c>
      <c r="H2576" t="s">
        <v>5618</v>
      </c>
      <c r="I2576" t="s">
        <v>5617</v>
      </c>
      <c r="J2576" s="1" t="str">
        <f>HYPERLINK("https://zfin.org/ZDB-GENE-061103-58")</f>
        <v>https://zfin.org/ZDB-GENE-061103-58</v>
      </c>
      <c r="K2576" t="s">
        <v>5619</v>
      </c>
    </row>
    <row r="2577" spans="1:11" x14ac:dyDescent="0.2">
      <c r="A2577">
        <v>2.7219012803404202E-9</v>
      </c>
      <c r="B2577">
        <v>0.53749150655554601</v>
      </c>
      <c r="C2577">
        <v>0.70899999999999996</v>
      </c>
      <c r="D2577">
        <v>0.40400000000000003</v>
      </c>
      <c r="E2577">
        <v>4.2143197523510697E-5</v>
      </c>
      <c r="F2577">
        <v>4</v>
      </c>
      <c r="G2577" t="s">
        <v>5620</v>
      </c>
      <c r="H2577" t="s">
        <v>5621</v>
      </c>
      <c r="I2577" t="s">
        <v>5620</v>
      </c>
      <c r="J2577" s="1" t="str">
        <f>HYPERLINK("https://zfin.org/ZDB-GENE-031030-2")</f>
        <v>https://zfin.org/ZDB-GENE-031030-2</v>
      </c>
      <c r="K2577" t="s">
        <v>5622</v>
      </c>
    </row>
    <row r="2578" spans="1:11" x14ac:dyDescent="0.2">
      <c r="A2578">
        <v>2.79258546844279E-9</v>
      </c>
      <c r="B2578">
        <v>0.409124931688638</v>
      </c>
      <c r="C2578">
        <v>0.36699999999999999</v>
      </c>
      <c r="D2578">
        <v>0.123</v>
      </c>
      <c r="E2578">
        <v>4.3237600807899701E-5</v>
      </c>
      <c r="F2578">
        <v>4</v>
      </c>
      <c r="G2578" t="s">
        <v>5623</v>
      </c>
      <c r="H2578" t="s">
        <v>5624</v>
      </c>
      <c r="I2578" t="s">
        <v>5623</v>
      </c>
      <c r="J2578" s="1" t="str">
        <f>HYPERLINK("https://zfin.org/ZDB-GENE-030131-4009")</f>
        <v>https://zfin.org/ZDB-GENE-030131-4009</v>
      </c>
      <c r="K2578" t="s">
        <v>5625</v>
      </c>
    </row>
    <row r="2579" spans="1:11" x14ac:dyDescent="0.2">
      <c r="A2579">
        <v>2.8367067677523502E-9</v>
      </c>
      <c r="B2579">
        <v>0.43120310483875401</v>
      </c>
      <c r="C2579">
        <v>0.38</v>
      </c>
      <c r="D2579">
        <v>0.13300000000000001</v>
      </c>
      <c r="E2579">
        <v>4.3920730885109602E-5</v>
      </c>
      <c r="F2579">
        <v>4</v>
      </c>
      <c r="G2579" t="s">
        <v>5187</v>
      </c>
      <c r="H2579" t="s">
        <v>5188</v>
      </c>
      <c r="I2579" t="s">
        <v>5187</v>
      </c>
      <c r="J2579" s="1" t="str">
        <f>HYPERLINK("https://zfin.org/ZDB-GENE-050517-31")</f>
        <v>https://zfin.org/ZDB-GENE-050517-31</v>
      </c>
      <c r="K2579" t="s">
        <v>5189</v>
      </c>
    </row>
    <row r="2580" spans="1:11" x14ac:dyDescent="0.2">
      <c r="A2580">
        <v>2.95601845480021E-9</v>
      </c>
      <c r="B2580">
        <v>0.80579634573389802</v>
      </c>
      <c r="C2580">
        <v>0.91100000000000003</v>
      </c>
      <c r="D2580">
        <v>0.80400000000000005</v>
      </c>
      <c r="E2580">
        <v>4.5768033735671699E-5</v>
      </c>
      <c r="F2580">
        <v>4</v>
      </c>
      <c r="G2580" t="s">
        <v>4636</v>
      </c>
      <c r="H2580" t="s">
        <v>4637</v>
      </c>
      <c r="I2580" t="s">
        <v>4636</v>
      </c>
      <c r="J2580" s="1" t="str">
        <f>HYPERLINK("https://zfin.org/ZDB-GENE-040426-1928")</f>
        <v>https://zfin.org/ZDB-GENE-040426-1928</v>
      </c>
      <c r="K2580" t="s">
        <v>4638</v>
      </c>
    </row>
    <row r="2581" spans="1:11" x14ac:dyDescent="0.2">
      <c r="A2581">
        <v>3.3011121198173502E-9</v>
      </c>
      <c r="B2581">
        <v>0.35934557563571301</v>
      </c>
      <c r="C2581">
        <v>0.253</v>
      </c>
      <c r="D2581">
        <v>6.8000000000000005E-2</v>
      </c>
      <c r="E2581">
        <v>5.1111118951131997E-5</v>
      </c>
      <c r="F2581">
        <v>4</v>
      </c>
      <c r="G2581" t="s">
        <v>5626</v>
      </c>
      <c r="H2581" t="s">
        <v>5627</v>
      </c>
      <c r="I2581" t="s">
        <v>5626</v>
      </c>
      <c r="J2581" s="1" t="str">
        <f>HYPERLINK("https://zfin.org/ZDB-GENE-040718-427")</f>
        <v>https://zfin.org/ZDB-GENE-040718-427</v>
      </c>
      <c r="K2581" t="s">
        <v>5628</v>
      </c>
    </row>
    <row r="2582" spans="1:11" x14ac:dyDescent="0.2">
      <c r="A2582">
        <v>3.34376973273932E-9</v>
      </c>
      <c r="B2582">
        <v>0.32835584275582902</v>
      </c>
      <c r="C2582">
        <v>0.253</v>
      </c>
      <c r="D2582">
        <v>6.7000000000000004E-2</v>
      </c>
      <c r="E2582">
        <v>5.1771586772002897E-5</v>
      </c>
      <c r="F2582">
        <v>4</v>
      </c>
      <c r="G2582" t="s">
        <v>5629</v>
      </c>
      <c r="H2582" t="s">
        <v>5630</v>
      </c>
      <c r="I2582" t="s">
        <v>5629</v>
      </c>
      <c r="J2582" s="1" t="str">
        <f>HYPERLINK("https://zfin.org/ZDB-GENE-040426-2681")</f>
        <v>https://zfin.org/ZDB-GENE-040426-2681</v>
      </c>
      <c r="K2582" t="s">
        <v>5631</v>
      </c>
    </row>
    <row r="2583" spans="1:11" x14ac:dyDescent="0.2">
      <c r="A2583">
        <v>3.3690696998252202E-9</v>
      </c>
      <c r="B2583">
        <v>0.38954456616324601</v>
      </c>
      <c r="C2583">
        <v>0.34200000000000003</v>
      </c>
      <c r="D2583">
        <v>0.112</v>
      </c>
      <c r="E2583">
        <v>5.2163306162393901E-5</v>
      </c>
      <c r="F2583">
        <v>4</v>
      </c>
      <c r="G2583" t="s">
        <v>5121</v>
      </c>
      <c r="H2583" t="s">
        <v>5122</v>
      </c>
      <c r="I2583" t="s">
        <v>5121</v>
      </c>
      <c r="J2583" s="1" t="str">
        <f>HYPERLINK("https://zfin.org/ZDB-GENE-040426-1773")</f>
        <v>https://zfin.org/ZDB-GENE-040426-1773</v>
      </c>
      <c r="K2583" t="s">
        <v>5123</v>
      </c>
    </row>
    <row r="2584" spans="1:11" x14ac:dyDescent="0.2">
      <c r="A2584">
        <v>3.4705614223144102E-9</v>
      </c>
      <c r="B2584">
        <v>0.37872662225258802</v>
      </c>
      <c r="C2584">
        <v>0.96199999999999997</v>
      </c>
      <c r="D2584">
        <v>0.93300000000000005</v>
      </c>
      <c r="E2584">
        <v>5.3734702501694001E-5</v>
      </c>
      <c r="F2584">
        <v>4</v>
      </c>
      <c r="G2584" t="s">
        <v>2099</v>
      </c>
      <c r="H2584" t="s">
        <v>2100</v>
      </c>
      <c r="I2584" t="s">
        <v>2099</v>
      </c>
      <c r="J2584" s="1" t="str">
        <f>HYPERLINK("https://zfin.org/ZDB-GENE-030131-8656")</f>
        <v>https://zfin.org/ZDB-GENE-030131-8656</v>
      </c>
      <c r="K2584" t="s">
        <v>2101</v>
      </c>
    </row>
    <row r="2585" spans="1:11" x14ac:dyDescent="0.2">
      <c r="A2585">
        <v>3.5297910314262499E-9</v>
      </c>
      <c r="B2585">
        <v>0.59728310134756202</v>
      </c>
      <c r="C2585">
        <v>0.68400000000000005</v>
      </c>
      <c r="D2585">
        <v>0.41199999999999998</v>
      </c>
      <c r="E2585">
        <v>5.4651754539572698E-5</v>
      </c>
      <c r="F2585">
        <v>4</v>
      </c>
      <c r="G2585" t="s">
        <v>3718</v>
      </c>
      <c r="H2585" t="s">
        <v>3719</v>
      </c>
      <c r="I2585" t="s">
        <v>3718</v>
      </c>
      <c r="J2585" s="1" t="str">
        <f>HYPERLINK("https://zfin.org/ZDB-GENE-030131-977")</f>
        <v>https://zfin.org/ZDB-GENE-030131-977</v>
      </c>
      <c r="K2585" t="s">
        <v>3720</v>
      </c>
    </row>
    <row r="2586" spans="1:11" x14ac:dyDescent="0.2">
      <c r="A2586">
        <v>3.5972490205200099E-9</v>
      </c>
      <c r="B2586">
        <v>0.63301094433316096</v>
      </c>
      <c r="C2586">
        <v>0.48099999999999998</v>
      </c>
      <c r="D2586">
        <v>0.20200000000000001</v>
      </c>
      <c r="E2586">
        <v>5.5696206584711302E-5</v>
      </c>
      <c r="F2586">
        <v>4</v>
      </c>
      <c r="G2586" t="s">
        <v>5632</v>
      </c>
      <c r="H2586" t="s">
        <v>5633</v>
      </c>
      <c r="I2586" t="s">
        <v>5632</v>
      </c>
      <c r="J2586" s="1" t="str">
        <f>HYPERLINK("https://zfin.org/ZDB-GENE-021028-1")</f>
        <v>https://zfin.org/ZDB-GENE-021028-1</v>
      </c>
      <c r="K2586" t="s">
        <v>5634</v>
      </c>
    </row>
    <row r="2587" spans="1:11" x14ac:dyDescent="0.2">
      <c r="A2587">
        <v>4.2813348100402203E-9</v>
      </c>
      <c r="B2587">
        <v>-1.3599924027918999</v>
      </c>
      <c r="C2587">
        <v>0.316</v>
      </c>
      <c r="D2587">
        <v>0.56299999999999994</v>
      </c>
      <c r="E2587">
        <v>6.62879068638527E-5</v>
      </c>
      <c r="F2587">
        <v>4</v>
      </c>
      <c r="G2587" t="s">
        <v>2930</v>
      </c>
      <c r="H2587" t="s">
        <v>2931</v>
      </c>
      <c r="I2587" t="s">
        <v>2930</v>
      </c>
      <c r="J2587" s="1" t="str">
        <f>HYPERLINK("https://zfin.org/ZDB-GENE-031016-2")</f>
        <v>https://zfin.org/ZDB-GENE-031016-2</v>
      </c>
      <c r="K2587" t="s">
        <v>2932</v>
      </c>
    </row>
    <row r="2588" spans="1:11" x14ac:dyDescent="0.2">
      <c r="A2588">
        <v>4.3135625090547401E-9</v>
      </c>
      <c r="B2588">
        <v>0.27543025561173901</v>
      </c>
      <c r="C2588">
        <v>0.152</v>
      </c>
      <c r="D2588">
        <v>2.8000000000000001E-2</v>
      </c>
      <c r="E2588">
        <v>6.6786888327694601E-5</v>
      </c>
      <c r="F2588">
        <v>4</v>
      </c>
      <c r="G2588" t="s">
        <v>4441</v>
      </c>
      <c r="H2588" t="s">
        <v>4442</v>
      </c>
      <c r="I2588" t="s">
        <v>4441</v>
      </c>
      <c r="J2588" s="1" t="str">
        <f>HYPERLINK("https://zfin.org/ZDB-GENE-041111-282")</f>
        <v>https://zfin.org/ZDB-GENE-041111-282</v>
      </c>
      <c r="K2588" t="s">
        <v>4443</v>
      </c>
    </row>
    <row r="2589" spans="1:11" x14ac:dyDescent="0.2">
      <c r="A2589">
        <v>4.6455587098257599E-9</v>
      </c>
      <c r="B2589">
        <v>0.32713606394280398</v>
      </c>
      <c r="C2589">
        <v>0.93700000000000006</v>
      </c>
      <c r="D2589">
        <v>0.95899999999999996</v>
      </c>
      <c r="E2589">
        <v>7.1927185504232205E-5</v>
      </c>
      <c r="F2589">
        <v>4</v>
      </c>
      <c r="G2589" t="s">
        <v>1873</v>
      </c>
      <c r="H2589" t="s">
        <v>1874</v>
      </c>
      <c r="I2589" t="s">
        <v>1873</v>
      </c>
      <c r="J2589" s="1" t="str">
        <f>HYPERLINK("https://zfin.org/ZDB-GENE-050506-107")</f>
        <v>https://zfin.org/ZDB-GENE-050506-107</v>
      </c>
      <c r="K2589" t="s">
        <v>1875</v>
      </c>
    </row>
    <row r="2590" spans="1:11" x14ac:dyDescent="0.2">
      <c r="A2590">
        <v>4.8553702053629701E-9</v>
      </c>
      <c r="B2590">
        <v>0.28084597063315497</v>
      </c>
      <c r="C2590">
        <v>0.316</v>
      </c>
      <c r="D2590">
        <v>9.4E-2</v>
      </c>
      <c r="E2590">
        <v>7.5175696889634796E-5</v>
      </c>
      <c r="F2590">
        <v>4</v>
      </c>
      <c r="G2590" t="s">
        <v>5635</v>
      </c>
      <c r="H2590" t="s">
        <v>5636</v>
      </c>
      <c r="I2590" t="s">
        <v>5635</v>
      </c>
      <c r="J2590" s="1" t="str">
        <f>HYPERLINK("https://zfin.org/ZDB-GENE-041212-74")</f>
        <v>https://zfin.org/ZDB-GENE-041212-74</v>
      </c>
      <c r="K2590" t="s">
        <v>5637</v>
      </c>
    </row>
    <row r="2591" spans="1:11" x14ac:dyDescent="0.2">
      <c r="A2591">
        <v>5.0397135465187298E-9</v>
      </c>
      <c r="B2591">
        <v>0.34430363113537799</v>
      </c>
      <c r="C2591">
        <v>0.32900000000000001</v>
      </c>
      <c r="D2591">
        <v>0.104</v>
      </c>
      <c r="E2591">
        <v>7.8029884840749494E-5</v>
      </c>
      <c r="F2591">
        <v>4</v>
      </c>
      <c r="G2591" t="s">
        <v>5638</v>
      </c>
      <c r="H2591" t="s">
        <v>5639</v>
      </c>
      <c r="I2591" t="s">
        <v>5638</v>
      </c>
      <c r="J2591" s="1" t="str">
        <f>HYPERLINK("https://zfin.org/ZDB-GENE-040426-2687")</f>
        <v>https://zfin.org/ZDB-GENE-040426-2687</v>
      </c>
      <c r="K2591" t="s">
        <v>5640</v>
      </c>
    </row>
    <row r="2592" spans="1:11" x14ac:dyDescent="0.2">
      <c r="A2592">
        <v>5.3369258285827202E-9</v>
      </c>
      <c r="B2592">
        <v>0.53776634363416198</v>
      </c>
      <c r="C2592">
        <v>0.68400000000000005</v>
      </c>
      <c r="D2592">
        <v>0.40600000000000003</v>
      </c>
      <c r="E2592">
        <v>8.2631622603946306E-5</v>
      </c>
      <c r="F2592">
        <v>4</v>
      </c>
      <c r="G2592" t="s">
        <v>5641</v>
      </c>
      <c r="H2592" t="s">
        <v>5642</v>
      </c>
      <c r="I2592" t="s">
        <v>5641</v>
      </c>
      <c r="J2592" s="1" t="str">
        <f>HYPERLINK("https://zfin.org/ZDB-GENE-030131-3085")</f>
        <v>https://zfin.org/ZDB-GENE-030131-3085</v>
      </c>
      <c r="K2592" t="s">
        <v>5643</v>
      </c>
    </row>
    <row r="2593" spans="1:11" x14ac:dyDescent="0.2">
      <c r="A2593">
        <v>5.4422264707207803E-9</v>
      </c>
      <c r="B2593">
        <v>0.54913122556693195</v>
      </c>
      <c r="C2593">
        <v>0.46800000000000003</v>
      </c>
      <c r="D2593">
        <v>0.20200000000000001</v>
      </c>
      <c r="E2593">
        <v>8.4261992446169799E-5</v>
      </c>
      <c r="F2593">
        <v>4</v>
      </c>
      <c r="G2593" t="s">
        <v>3847</v>
      </c>
      <c r="H2593" t="s">
        <v>3848</v>
      </c>
      <c r="I2593" t="s">
        <v>3847</v>
      </c>
      <c r="J2593" s="1" t="str">
        <f>HYPERLINK("https://zfin.org/ZDB-GENE-131121-445")</f>
        <v>https://zfin.org/ZDB-GENE-131121-445</v>
      </c>
      <c r="K2593" t="s">
        <v>3849</v>
      </c>
    </row>
    <row r="2594" spans="1:11" x14ac:dyDescent="0.2">
      <c r="A2594">
        <v>5.5346168924679298E-9</v>
      </c>
      <c r="B2594">
        <v>0.41186672064741903</v>
      </c>
      <c r="C2594">
        <v>0.34200000000000003</v>
      </c>
      <c r="D2594">
        <v>0.112</v>
      </c>
      <c r="E2594">
        <v>8.5692473346080897E-5</v>
      </c>
      <c r="F2594">
        <v>4</v>
      </c>
      <c r="G2594" t="s">
        <v>5644</v>
      </c>
      <c r="H2594" t="s">
        <v>5645</v>
      </c>
      <c r="I2594" t="s">
        <v>5644</v>
      </c>
      <c r="J2594" s="1" t="str">
        <f>HYPERLINK("https://zfin.org/ZDB-GENE-040426-1573")</f>
        <v>https://zfin.org/ZDB-GENE-040426-1573</v>
      </c>
      <c r="K2594" t="s">
        <v>5646</v>
      </c>
    </row>
    <row r="2595" spans="1:11" x14ac:dyDescent="0.2">
      <c r="A2595">
        <v>5.7926232890402101E-9</v>
      </c>
      <c r="B2595">
        <v>0.52472242449441198</v>
      </c>
      <c r="C2595">
        <v>0.73399999999999999</v>
      </c>
      <c r="D2595">
        <v>0.46899999999999997</v>
      </c>
      <c r="E2595">
        <v>8.9687186384209604E-5</v>
      </c>
      <c r="F2595">
        <v>4</v>
      </c>
      <c r="G2595" t="s">
        <v>4085</v>
      </c>
      <c r="H2595" t="s">
        <v>4086</v>
      </c>
      <c r="I2595" t="s">
        <v>4085</v>
      </c>
      <c r="J2595" s="1" t="str">
        <f>HYPERLINK("https://zfin.org/ZDB-GENE-060804-3")</f>
        <v>https://zfin.org/ZDB-GENE-060804-3</v>
      </c>
      <c r="K2595" t="s">
        <v>4087</v>
      </c>
    </row>
    <row r="2596" spans="1:11" x14ac:dyDescent="0.2">
      <c r="A2596">
        <v>6.10302615694941E-9</v>
      </c>
      <c r="B2596">
        <v>0.40105436464989103</v>
      </c>
      <c r="C2596">
        <v>0.443</v>
      </c>
      <c r="D2596">
        <v>0.16900000000000001</v>
      </c>
      <c r="E2596">
        <v>9.4493153988047795E-5</v>
      </c>
      <c r="F2596">
        <v>4</v>
      </c>
      <c r="G2596" t="s">
        <v>4049</v>
      </c>
      <c r="H2596" t="s">
        <v>4050</v>
      </c>
      <c r="I2596" t="s">
        <v>4049</v>
      </c>
      <c r="J2596" s="1" t="str">
        <f>HYPERLINK("https://zfin.org/ZDB-GENE-070912-179")</f>
        <v>https://zfin.org/ZDB-GENE-070912-179</v>
      </c>
      <c r="K2596" t="s">
        <v>4051</v>
      </c>
    </row>
    <row r="2597" spans="1:11" x14ac:dyDescent="0.2">
      <c r="A2597">
        <v>6.2467451984036898E-9</v>
      </c>
      <c r="B2597">
        <v>0.46978938399999898</v>
      </c>
      <c r="C2597">
        <v>0.253</v>
      </c>
      <c r="D2597">
        <v>7.0999999999999994E-2</v>
      </c>
      <c r="E2597">
        <v>9.6718355906884305E-5</v>
      </c>
      <c r="F2597">
        <v>4</v>
      </c>
      <c r="G2597" t="s">
        <v>1522</v>
      </c>
      <c r="H2597" t="s">
        <v>1523</v>
      </c>
      <c r="I2597" t="s">
        <v>1522</v>
      </c>
      <c r="J2597" s="1" t="str">
        <f>HYPERLINK("https://zfin.org/ZDB-GENE-061215-70")</f>
        <v>https://zfin.org/ZDB-GENE-061215-70</v>
      </c>
      <c r="K2597" t="s">
        <v>1524</v>
      </c>
    </row>
    <row r="2598" spans="1:11" x14ac:dyDescent="0.2">
      <c r="A2598">
        <v>2.8441360014794798E-104</v>
      </c>
      <c r="B2598">
        <v>2.1539829563300299</v>
      </c>
      <c r="C2598">
        <v>0.92700000000000005</v>
      </c>
      <c r="D2598">
        <v>0.124</v>
      </c>
      <c r="E2598">
        <v>4.4035757710906803E-100</v>
      </c>
      <c r="F2598">
        <v>5</v>
      </c>
      <c r="G2598" t="s">
        <v>5647</v>
      </c>
      <c r="H2598" t="s">
        <v>5648</v>
      </c>
      <c r="I2598" t="s">
        <v>5647</v>
      </c>
      <c r="J2598" s="1" t="str">
        <f>HYPERLINK("https://zfin.org/ZDB-GENE-070502-5")</f>
        <v>https://zfin.org/ZDB-GENE-070502-5</v>
      </c>
      <c r="K2598" t="s">
        <v>5649</v>
      </c>
    </row>
    <row r="2599" spans="1:11" x14ac:dyDescent="0.2">
      <c r="A2599">
        <v>5.0492039775722503E-66</v>
      </c>
      <c r="B2599">
        <v>1.36841839174099</v>
      </c>
      <c r="C2599">
        <v>0.46899999999999997</v>
      </c>
      <c r="D2599">
        <v>3.5999999999999997E-2</v>
      </c>
      <c r="E2599">
        <v>7.8176825184751208E-62</v>
      </c>
      <c r="F2599">
        <v>5</v>
      </c>
      <c r="G2599" t="s">
        <v>5650</v>
      </c>
      <c r="H2599" t="s">
        <v>5651</v>
      </c>
      <c r="I2599" t="s">
        <v>5650</v>
      </c>
      <c r="J2599" s="1" t="str">
        <f>HYPERLINK("https://zfin.org/ZDB-GENE-040718-335")</f>
        <v>https://zfin.org/ZDB-GENE-040718-335</v>
      </c>
      <c r="K2599" t="s">
        <v>5652</v>
      </c>
    </row>
    <row r="2600" spans="1:11" x14ac:dyDescent="0.2">
      <c r="A2600">
        <v>4.3379818580893298E-61</v>
      </c>
      <c r="B2600">
        <v>1.67895439383001</v>
      </c>
      <c r="C2600">
        <v>0.63500000000000001</v>
      </c>
      <c r="D2600">
        <v>8.8999999999999996E-2</v>
      </c>
      <c r="E2600">
        <v>6.7164973108797003E-57</v>
      </c>
      <c r="F2600">
        <v>5</v>
      </c>
      <c r="G2600" t="s">
        <v>5653</v>
      </c>
      <c r="H2600" t="s">
        <v>5654</v>
      </c>
      <c r="I2600" t="s">
        <v>5653</v>
      </c>
      <c r="J2600" s="1" t="str">
        <f>HYPERLINK("https://zfin.org/ZDB-GENE-060503-475")</f>
        <v>https://zfin.org/ZDB-GENE-060503-475</v>
      </c>
      <c r="K2600" t="s">
        <v>5655</v>
      </c>
    </row>
    <row r="2601" spans="1:11" x14ac:dyDescent="0.2">
      <c r="A2601">
        <v>1.92944675511234E-54</v>
      </c>
      <c r="B2601">
        <v>1.18867567798838</v>
      </c>
      <c r="C2601">
        <v>0.32300000000000001</v>
      </c>
      <c r="D2601">
        <v>1.7999999999999999E-2</v>
      </c>
      <c r="E2601">
        <v>2.9873624109404399E-50</v>
      </c>
      <c r="F2601">
        <v>5</v>
      </c>
      <c r="G2601" t="s">
        <v>5656</v>
      </c>
      <c r="H2601" t="s">
        <v>5657</v>
      </c>
      <c r="I2601" t="s">
        <v>5656</v>
      </c>
      <c r="J2601" s="1" t="str">
        <f>HYPERLINK("https://zfin.org/ZDB-GENE-030131-9839")</f>
        <v>https://zfin.org/ZDB-GENE-030131-9839</v>
      </c>
      <c r="K2601" t="s">
        <v>5658</v>
      </c>
    </row>
    <row r="2602" spans="1:11" x14ac:dyDescent="0.2">
      <c r="A2602">
        <v>1.38877648324198E-52</v>
      </c>
      <c r="B2602">
        <v>1.57839896475671</v>
      </c>
      <c r="C2602">
        <v>0.96899999999999997</v>
      </c>
      <c r="D2602">
        <v>0.41199999999999998</v>
      </c>
      <c r="E2602">
        <v>2.1502426290035601E-48</v>
      </c>
      <c r="F2602">
        <v>5</v>
      </c>
      <c r="G2602" t="s">
        <v>3299</v>
      </c>
      <c r="H2602" t="s">
        <v>3300</v>
      </c>
      <c r="I2602" t="s">
        <v>3299</v>
      </c>
      <c r="J2602" s="1" t="str">
        <f>HYPERLINK("https://zfin.org/ZDB-GENE-011212-6")</f>
        <v>https://zfin.org/ZDB-GENE-011212-6</v>
      </c>
      <c r="K2602" t="s">
        <v>3301</v>
      </c>
    </row>
    <row r="2603" spans="1:11" x14ac:dyDescent="0.2">
      <c r="A2603">
        <v>1.5675160998051301E-51</v>
      </c>
      <c r="B2603">
        <v>2.1649344553859899</v>
      </c>
      <c r="C2603">
        <v>0.46899999999999997</v>
      </c>
      <c r="D2603">
        <v>5.3999999999999999E-2</v>
      </c>
      <c r="E2603">
        <v>2.4269851773282799E-47</v>
      </c>
      <c r="F2603">
        <v>5</v>
      </c>
      <c r="G2603" t="s">
        <v>5659</v>
      </c>
      <c r="H2603" t="s">
        <v>5660</v>
      </c>
      <c r="I2603" t="s">
        <v>5659</v>
      </c>
      <c r="J2603" s="1" t="str">
        <f>HYPERLINK("https://zfin.org/ZDB-GENE-050208-336")</f>
        <v>https://zfin.org/ZDB-GENE-050208-336</v>
      </c>
      <c r="K2603" t="s">
        <v>5661</v>
      </c>
    </row>
    <row r="2604" spans="1:11" x14ac:dyDescent="0.2">
      <c r="A2604">
        <v>2.3070693822243199E-51</v>
      </c>
      <c r="B2604">
        <v>1.9743524854913399</v>
      </c>
      <c r="C2604">
        <v>0.61499999999999999</v>
      </c>
      <c r="D2604">
        <v>0.105</v>
      </c>
      <c r="E2604">
        <v>3.5720355244979099E-47</v>
      </c>
      <c r="F2604">
        <v>5</v>
      </c>
      <c r="G2604" t="s">
        <v>5662</v>
      </c>
      <c r="H2604" t="s">
        <v>5663</v>
      </c>
      <c r="I2604" t="s">
        <v>5662</v>
      </c>
      <c r="J2604" s="1" t="str">
        <f>HYPERLINK("https://zfin.org/ZDB-GENE-041111-1")</f>
        <v>https://zfin.org/ZDB-GENE-041111-1</v>
      </c>
      <c r="K2604" t="s">
        <v>5664</v>
      </c>
    </row>
    <row r="2605" spans="1:11" x14ac:dyDescent="0.2">
      <c r="A2605">
        <v>1.4093639076435001E-50</v>
      </c>
      <c r="B2605">
        <v>1.7693577657811299</v>
      </c>
      <c r="C2605">
        <v>1</v>
      </c>
      <c r="D2605">
        <v>0.80800000000000005</v>
      </c>
      <c r="E2605">
        <v>2.1821181382044299E-46</v>
      </c>
      <c r="F2605">
        <v>5</v>
      </c>
      <c r="G2605" t="s">
        <v>2727</v>
      </c>
      <c r="H2605" t="s">
        <v>2728</v>
      </c>
      <c r="I2605" t="s">
        <v>2727</v>
      </c>
      <c r="J2605" s="1" t="str">
        <f>HYPERLINK("https://zfin.org/")</f>
        <v>https://zfin.org/</v>
      </c>
      <c r="K2605" t="s">
        <v>2729</v>
      </c>
    </row>
    <row r="2606" spans="1:11" x14ac:dyDescent="0.2">
      <c r="A2606">
        <v>5.9154029836969696E-50</v>
      </c>
      <c r="B2606">
        <v>1.32439117718708</v>
      </c>
      <c r="C2606">
        <v>0.53100000000000003</v>
      </c>
      <c r="D2606">
        <v>7.1999999999999995E-2</v>
      </c>
      <c r="E2606">
        <v>9.1588184396580103E-46</v>
      </c>
      <c r="F2606">
        <v>5</v>
      </c>
      <c r="G2606" t="s">
        <v>5665</v>
      </c>
      <c r="H2606" t="s">
        <v>5666</v>
      </c>
      <c r="I2606" t="s">
        <v>5665</v>
      </c>
      <c r="J2606" s="1" t="str">
        <f>HYPERLINK("https://zfin.org/ZDB-GENE-081104-326")</f>
        <v>https://zfin.org/ZDB-GENE-081104-326</v>
      </c>
      <c r="K2606" t="s">
        <v>5667</v>
      </c>
    </row>
    <row r="2607" spans="1:11" x14ac:dyDescent="0.2">
      <c r="A2607">
        <v>5.77425244327907E-42</v>
      </c>
      <c r="B2607">
        <v>1.6245830968223101</v>
      </c>
      <c r="C2607">
        <v>0.91700000000000004</v>
      </c>
      <c r="D2607">
        <v>0.52600000000000002</v>
      </c>
      <c r="E2607">
        <v>8.94027505792898E-38</v>
      </c>
      <c r="F2607">
        <v>5</v>
      </c>
      <c r="G2607" t="s">
        <v>2930</v>
      </c>
      <c r="H2607" t="s">
        <v>2931</v>
      </c>
      <c r="I2607" t="s">
        <v>2930</v>
      </c>
      <c r="J2607" s="1" t="str">
        <f>HYPERLINK("https://zfin.org/ZDB-GENE-031016-2")</f>
        <v>https://zfin.org/ZDB-GENE-031016-2</v>
      </c>
      <c r="K2607" t="s">
        <v>2932</v>
      </c>
    </row>
    <row r="2608" spans="1:11" x14ac:dyDescent="0.2">
      <c r="A2608">
        <v>1.48960755063183E-41</v>
      </c>
      <c r="B2608">
        <v>0.93100295691775503</v>
      </c>
      <c r="C2608">
        <v>0.26</v>
      </c>
      <c r="D2608">
        <v>1.4999999999999999E-2</v>
      </c>
      <c r="E2608">
        <v>2.3063593706432698E-37</v>
      </c>
      <c r="F2608">
        <v>5</v>
      </c>
      <c r="G2608" t="s">
        <v>5668</v>
      </c>
      <c r="H2608" t="s">
        <v>5669</v>
      </c>
      <c r="I2608" t="s">
        <v>5668</v>
      </c>
      <c r="J2608" s="1" t="str">
        <f>HYPERLINK("https://zfin.org/ZDB-GENE-040310-5")</f>
        <v>https://zfin.org/ZDB-GENE-040310-5</v>
      </c>
      <c r="K2608" t="s">
        <v>5670</v>
      </c>
    </row>
    <row r="2609" spans="1:11" x14ac:dyDescent="0.2">
      <c r="A2609">
        <v>1.03990135850382E-38</v>
      </c>
      <c r="B2609">
        <v>1.44596900246114</v>
      </c>
      <c r="C2609">
        <v>0.38500000000000001</v>
      </c>
      <c r="D2609">
        <v>4.7E-2</v>
      </c>
      <c r="E2609">
        <v>1.6100792733714601E-34</v>
      </c>
      <c r="F2609">
        <v>5</v>
      </c>
      <c r="G2609" t="s">
        <v>5671</v>
      </c>
      <c r="H2609" t="s">
        <v>5672</v>
      </c>
      <c r="I2609" t="s">
        <v>5671</v>
      </c>
      <c r="J2609" s="1" t="str">
        <f>HYPERLINK("https://zfin.org/ZDB-GENE-010328-5")</f>
        <v>https://zfin.org/ZDB-GENE-010328-5</v>
      </c>
      <c r="K2609" t="s">
        <v>5673</v>
      </c>
    </row>
    <row r="2610" spans="1:11" x14ac:dyDescent="0.2">
      <c r="A2610">
        <v>2.96011156212286E-37</v>
      </c>
      <c r="B2610">
        <v>0.74451851197784602</v>
      </c>
      <c r="C2610">
        <v>0.19800000000000001</v>
      </c>
      <c r="D2610">
        <v>8.0000000000000002E-3</v>
      </c>
      <c r="E2610">
        <v>4.5831407316348297E-33</v>
      </c>
      <c r="F2610">
        <v>5</v>
      </c>
      <c r="G2610" t="s">
        <v>5674</v>
      </c>
      <c r="H2610" t="s">
        <v>5675</v>
      </c>
      <c r="I2610" t="s">
        <v>5674</v>
      </c>
      <c r="J2610" s="1" t="str">
        <f>HYPERLINK("https://zfin.org/ZDB-GENE-131121-313")</f>
        <v>https://zfin.org/ZDB-GENE-131121-313</v>
      </c>
      <c r="K2610" t="s">
        <v>5676</v>
      </c>
    </row>
    <row r="2611" spans="1:11" x14ac:dyDescent="0.2">
      <c r="A2611">
        <v>1.2570539545063899E-36</v>
      </c>
      <c r="B2611">
        <v>0.72266110734431899</v>
      </c>
      <c r="C2611">
        <v>1</v>
      </c>
      <c r="D2611">
        <v>0.99099999999999999</v>
      </c>
      <c r="E2611">
        <v>1.94629663776225E-32</v>
      </c>
      <c r="F2611">
        <v>5</v>
      </c>
      <c r="G2611" t="s">
        <v>800</v>
      </c>
      <c r="H2611" t="s">
        <v>801</v>
      </c>
      <c r="I2611" t="s">
        <v>800</v>
      </c>
      <c r="J2611" s="1" t="str">
        <f>HYPERLINK("https://zfin.org/ZDB-GENE-040426-2209")</f>
        <v>https://zfin.org/ZDB-GENE-040426-2209</v>
      </c>
      <c r="K2611" t="s">
        <v>802</v>
      </c>
    </row>
    <row r="2612" spans="1:11" x14ac:dyDescent="0.2">
      <c r="A2612">
        <v>3.53680901529681E-30</v>
      </c>
      <c r="B2612">
        <v>0.90832318097528597</v>
      </c>
      <c r="C2612">
        <v>0.33300000000000002</v>
      </c>
      <c r="D2612">
        <v>4.5999999999999999E-2</v>
      </c>
      <c r="E2612">
        <v>5.4760413983840398E-26</v>
      </c>
      <c r="F2612">
        <v>5</v>
      </c>
      <c r="G2612" t="s">
        <v>5677</v>
      </c>
      <c r="H2612" t="s">
        <v>5678</v>
      </c>
      <c r="I2612" t="s">
        <v>5677</v>
      </c>
      <c r="J2612" s="1" t="str">
        <f>HYPERLINK("https://zfin.org/ZDB-GENE-060610-3")</f>
        <v>https://zfin.org/ZDB-GENE-060610-3</v>
      </c>
      <c r="K2612" t="s">
        <v>5679</v>
      </c>
    </row>
    <row r="2613" spans="1:11" x14ac:dyDescent="0.2">
      <c r="A2613">
        <v>6.5707932026342598E-30</v>
      </c>
      <c r="B2613">
        <v>1.2617172455259</v>
      </c>
      <c r="C2613">
        <v>0.44800000000000001</v>
      </c>
      <c r="D2613">
        <v>8.7999999999999995E-2</v>
      </c>
      <c r="E2613">
        <v>1.01735591156386E-25</v>
      </c>
      <c r="F2613">
        <v>5</v>
      </c>
      <c r="G2613" t="s">
        <v>5680</v>
      </c>
      <c r="H2613" t="s">
        <v>5681</v>
      </c>
      <c r="I2613" t="s">
        <v>5680</v>
      </c>
      <c r="J2613" s="1" t="str">
        <f>HYPERLINK("https://zfin.org/ZDB-GENE-081104-210")</f>
        <v>https://zfin.org/ZDB-GENE-081104-210</v>
      </c>
      <c r="K2613" t="s">
        <v>5682</v>
      </c>
    </row>
    <row r="2614" spans="1:11" x14ac:dyDescent="0.2">
      <c r="A2614">
        <v>2.7770436462265098E-29</v>
      </c>
      <c r="B2614">
        <v>0.97454858327981997</v>
      </c>
      <c r="C2614">
        <v>0.99</v>
      </c>
      <c r="D2614">
        <v>0.70499999999999996</v>
      </c>
      <c r="E2614">
        <v>4.29969667745251E-25</v>
      </c>
      <c r="F2614">
        <v>5</v>
      </c>
      <c r="G2614" t="s">
        <v>2057</v>
      </c>
      <c r="H2614" t="s">
        <v>2058</v>
      </c>
      <c r="I2614" t="s">
        <v>2057</v>
      </c>
      <c r="J2614" s="1" t="str">
        <f>HYPERLINK("https://zfin.org/ZDB-GENE-041121-18")</f>
        <v>https://zfin.org/ZDB-GENE-041121-18</v>
      </c>
      <c r="K2614" t="s">
        <v>2059</v>
      </c>
    </row>
    <row r="2615" spans="1:11" x14ac:dyDescent="0.2">
      <c r="A2615">
        <v>4.8915830451637E-29</v>
      </c>
      <c r="B2615">
        <v>0.99175469962467599</v>
      </c>
      <c r="C2615">
        <v>0.30199999999999999</v>
      </c>
      <c r="D2615">
        <v>3.9E-2</v>
      </c>
      <c r="E2615">
        <v>7.57363802882695E-25</v>
      </c>
      <c r="F2615">
        <v>5</v>
      </c>
      <c r="G2615" t="s">
        <v>5683</v>
      </c>
      <c r="H2615" t="s">
        <v>5684</v>
      </c>
      <c r="I2615" t="s">
        <v>5683</v>
      </c>
      <c r="J2615" s="1" t="str">
        <f>HYPERLINK("https://zfin.org/ZDB-GENE-120104-1")</f>
        <v>https://zfin.org/ZDB-GENE-120104-1</v>
      </c>
      <c r="K2615" t="s">
        <v>5685</v>
      </c>
    </row>
    <row r="2616" spans="1:11" x14ac:dyDescent="0.2">
      <c r="A2616">
        <v>2.9335755299925102E-28</v>
      </c>
      <c r="B2616">
        <v>1.34890506421005</v>
      </c>
      <c r="C2616">
        <v>0.67700000000000005</v>
      </c>
      <c r="D2616">
        <v>0.253</v>
      </c>
      <c r="E2616">
        <v>4.5420549930874102E-24</v>
      </c>
      <c r="F2616">
        <v>5</v>
      </c>
      <c r="G2616" t="s">
        <v>5686</v>
      </c>
      <c r="H2616" t="s">
        <v>5687</v>
      </c>
      <c r="I2616" t="s">
        <v>5686</v>
      </c>
      <c r="J2616" s="1" t="str">
        <f>HYPERLINK("https://zfin.org/ZDB-GENE-040426-1937")</f>
        <v>https://zfin.org/ZDB-GENE-040426-1937</v>
      </c>
      <c r="K2616" t="s">
        <v>5688</v>
      </c>
    </row>
    <row r="2617" spans="1:11" x14ac:dyDescent="0.2">
      <c r="A2617">
        <v>8.4364538636589099E-28</v>
      </c>
      <c r="B2617">
        <v>1.51047583403747</v>
      </c>
      <c r="C2617">
        <v>0.42699999999999999</v>
      </c>
      <c r="D2617">
        <v>8.5999999999999993E-2</v>
      </c>
      <c r="E2617">
        <v>1.3062161517103101E-23</v>
      </c>
      <c r="F2617">
        <v>5</v>
      </c>
      <c r="G2617" t="s">
        <v>5689</v>
      </c>
      <c r="H2617" t="s">
        <v>5690</v>
      </c>
      <c r="I2617" t="s">
        <v>5689</v>
      </c>
      <c r="J2617" s="1" t="str">
        <f>HYPERLINK("https://zfin.org/ZDB-GENE-980526-249")</f>
        <v>https://zfin.org/ZDB-GENE-980526-249</v>
      </c>
      <c r="K2617" t="s">
        <v>5691</v>
      </c>
    </row>
    <row r="2618" spans="1:11" x14ac:dyDescent="0.2">
      <c r="A2618">
        <v>3.0516018845786102E-25</v>
      </c>
      <c r="B2618">
        <v>0.74254339529283298</v>
      </c>
      <c r="C2618">
        <v>0.30199999999999999</v>
      </c>
      <c r="D2618">
        <v>4.3999999999999997E-2</v>
      </c>
      <c r="E2618">
        <v>4.7247951978930599E-21</v>
      </c>
      <c r="F2618">
        <v>5</v>
      </c>
      <c r="G2618" t="s">
        <v>5692</v>
      </c>
      <c r="H2618" t="s">
        <v>5693</v>
      </c>
      <c r="I2618" t="s">
        <v>5692</v>
      </c>
      <c r="J2618" s="1" t="str">
        <f>HYPERLINK("https://zfin.org/ZDB-GENE-090218-29")</f>
        <v>https://zfin.org/ZDB-GENE-090218-29</v>
      </c>
      <c r="K2618" t="s">
        <v>5694</v>
      </c>
    </row>
    <row r="2619" spans="1:11" x14ac:dyDescent="0.2">
      <c r="A2619">
        <v>9.6474469479030193E-25</v>
      </c>
      <c r="B2619">
        <v>0.57032037813460601</v>
      </c>
      <c r="C2619">
        <v>0.125</v>
      </c>
      <c r="D2619">
        <v>5.0000000000000001E-3</v>
      </c>
      <c r="E2619">
        <v>1.4937142109438301E-20</v>
      </c>
      <c r="F2619">
        <v>5</v>
      </c>
      <c r="G2619" t="s">
        <v>5695</v>
      </c>
      <c r="H2619" t="s">
        <v>5696</v>
      </c>
      <c r="I2619" t="s">
        <v>5695</v>
      </c>
      <c r="J2619" s="1" t="str">
        <f>HYPERLINK("https://zfin.org/")</f>
        <v>https://zfin.org/</v>
      </c>
      <c r="K2619" t="s">
        <v>5697</v>
      </c>
    </row>
    <row r="2620" spans="1:11" x14ac:dyDescent="0.2">
      <c r="A2620">
        <v>2.84884056258052E-24</v>
      </c>
      <c r="B2620">
        <v>0.59445540857747903</v>
      </c>
      <c r="C2620">
        <v>1</v>
      </c>
      <c r="D2620">
        <v>1</v>
      </c>
      <c r="E2620">
        <v>4.4108598430434102E-20</v>
      </c>
      <c r="F2620">
        <v>5</v>
      </c>
      <c r="G2620" t="s">
        <v>1015</v>
      </c>
      <c r="H2620" t="s">
        <v>1016</v>
      </c>
      <c r="I2620" t="s">
        <v>1015</v>
      </c>
      <c r="J2620" s="1" t="str">
        <f>HYPERLINK("https://zfin.org/ZDB-GENE-141216-248")</f>
        <v>https://zfin.org/ZDB-GENE-141216-248</v>
      </c>
      <c r="K2620" t="s">
        <v>1017</v>
      </c>
    </row>
    <row r="2621" spans="1:11" x14ac:dyDescent="0.2">
      <c r="A2621">
        <v>3.4832481252939402E-23</v>
      </c>
      <c r="B2621">
        <v>0.91201951973639295</v>
      </c>
      <c r="C2621">
        <v>0.78100000000000003</v>
      </c>
      <c r="D2621">
        <v>0.39</v>
      </c>
      <c r="E2621">
        <v>5.3931130723926001E-19</v>
      </c>
      <c r="F2621">
        <v>5</v>
      </c>
      <c r="G2621" t="s">
        <v>3224</v>
      </c>
      <c r="H2621" t="s">
        <v>3225</v>
      </c>
      <c r="I2621" t="s">
        <v>3224</v>
      </c>
      <c r="J2621" s="1" t="str">
        <f>HYPERLINK("https://zfin.org/ZDB-GENE-010606-1")</f>
        <v>https://zfin.org/ZDB-GENE-010606-1</v>
      </c>
      <c r="K2621" t="s">
        <v>3226</v>
      </c>
    </row>
    <row r="2622" spans="1:11" x14ac:dyDescent="0.2">
      <c r="A2622">
        <v>1.67548964683116E-22</v>
      </c>
      <c r="B2622">
        <v>1.05908414816769</v>
      </c>
      <c r="C2622">
        <v>0.78100000000000003</v>
      </c>
      <c r="D2622">
        <v>0.42699999999999999</v>
      </c>
      <c r="E2622">
        <v>2.5941606201886901E-18</v>
      </c>
      <c r="F2622">
        <v>5</v>
      </c>
      <c r="G2622" t="s">
        <v>3020</v>
      </c>
      <c r="H2622" t="s">
        <v>3021</v>
      </c>
      <c r="I2622" t="s">
        <v>3020</v>
      </c>
      <c r="J2622" s="1" t="str">
        <f>HYPERLINK("https://zfin.org/ZDB-GENE-020802-2")</f>
        <v>https://zfin.org/ZDB-GENE-020802-2</v>
      </c>
      <c r="K2622" t="s">
        <v>3022</v>
      </c>
    </row>
    <row r="2623" spans="1:11" x14ac:dyDescent="0.2">
      <c r="A2623">
        <v>3.0316915627444798E-22</v>
      </c>
      <c r="B2623">
        <v>0.42782034621079401</v>
      </c>
      <c r="C2623">
        <v>0.16700000000000001</v>
      </c>
      <c r="D2623">
        <v>1.2999999999999999E-2</v>
      </c>
      <c r="E2623">
        <v>4.6939680465972803E-18</v>
      </c>
      <c r="F2623">
        <v>5</v>
      </c>
      <c r="G2623" t="s">
        <v>5698</v>
      </c>
      <c r="H2623" t="s">
        <v>5699</v>
      </c>
      <c r="I2623" t="s">
        <v>5698</v>
      </c>
      <c r="J2623" s="1" t="str">
        <f>HYPERLINK("https://zfin.org/ZDB-GENE-031118-112")</f>
        <v>https://zfin.org/ZDB-GENE-031118-112</v>
      </c>
      <c r="K2623" t="s">
        <v>5700</v>
      </c>
    </row>
    <row r="2624" spans="1:11" x14ac:dyDescent="0.2">
      <c r="A2624">
        <v>5.2950666520849697E-22</v>
      </c>
      <c r="B2624">
        <v>1.04322429656813</v>
      </c>
      <c r="C2624">
        <v>0.79200000000000004</v>
      </c>
      <c r="D2624">
        <v>0.41299999999999998</v>
      </c>
      <c r="E2624">
        <v>8.1983516974231505E-18</v>
      </c>
      <c r="F2624">
        <v>5</v>
      </c>
      <c r="G2624" t="s">
        <v>3374</v>
      </c>
      <c r="H2624" t="s">
        <v>3375</v>
      </c>
      <c r="I2624" t="s">
        <v>3374</v>
      </c>
      <c r="J2624" s="1" t="str">
        <f>HYPERLINK("https://zfin.org/ZDB-GENE-031118-45")</f>
        <v>https://zfin.org/ZDB-GENE-031118-45</v>
      </c>
      <c r="K2624" t="s">
        <v>3376</v>
      </c>
    </row>
    <row r="2625" spans="1:11" x14ac:dyDescent="0.2">
      <c r="A2625">
        <v>7.3727571478391097E-22</v>
      </c>
      <c r="B2625">
        <v>1.03281381549825</v>
      </c>
      <c r="C2625">
        <v>0.74</v>
      </c>
      <c r="D2625">
        <v>0.38200000000000001</v>
      </c>
      <c r="E2625">
        <v>1.14152398919993E-17</v>
      </c>
      <c r="F2625">
        <v>5</v>
      </c>
      <c r="G2625" t="s">
        <v>3347</v>
      </c>
      <c r="H2625" t="s">
        <v>3348</v>
      </c>
      <c r="I2625" t="s">
        <v>3347</v>
      </c>
      <c r="J2625" s="1" t="str">
        <f>HYPERLINK("https://zfin.org/ZDB-GENE-030911-2")</f>
        <v>https://zfin.org/ZDB-GENE-030911-2</v>
      </c>
      <c r="K2625" t="s">
        <v>3349</v>
      </c>
    </row>
    <row r="2626" spans="1:11" x14ac:dyDescent="0.2">
      <c r="A2626">
        <v>1.27573073369343E-21</v>
      </c>
      <c r="B2626">
        <v>0.75726428512266097</v>
      </c>
      <c r="C2626">
        <v>0.188</v>
      </c>
      <c r="D2626">
        <v>1.9E-2</v>
      </c>
      <c r="E2626">
        <v>1.9752138949775401E-17</v>
      </c>
      <c r="F2626">
        <v>5</v>
      </c>
      <c r="G2626" t="s">
        <v>5701</v>
      </c>
      <c r="H2626" t="s">
        <v>5702</v>
      </c>
      <c r="I2626" t="s">
        <v>5701</v>
      </c>
      <c r="J2626" s="1" t="str">
        <f>HYPERLINK("https://zfin.org/ZDB-GENE-131120-18")</f>
        <v>https://zfin.org/ZDB-GENE-131120-18</v>
      </c>
      <c r="K2626" t="s">
        <v>5703</v>
      </c>
    </row>
    <row r="2627" spans="1:11" x14ac:dyDescent="0.2">
      <c r="A2627">
        <v>2.9117123633453599E-21</v>
      </c>
      <c r="B2627">
        <v>1.01681828949436</v>
      </c>
      <c r="C2627">
        <v>0.72899999999999998</v>
      </c>
      <c r="D2627">
        <v>0.35499999999999998</v>
      </c>
      <c r="E2627">
        <v>4.5082042521676202E-17</v>
      </c>
      <c r="F2627">
        <v>5</v>
      </c>
      <c r="G2627" t="s">
        <v>5704</v>
      </c>
      <c r="H2627" t="s">
        <v>5705</v>
      </c>
      <c r="I2627" t="s">
        <v>5704</v>
      </c>
      <c r="J2627" s="1" t="str">
        <f>HYPERLINK("https://zfin.org/ZDB-GENE-061103-283")</f>
        <v>https://zfin.org/ZDB-GENE-061103-283</v>
      </c>
      <c r="K2627" t="s">
        <v>5706</v>
      </c>
    </row>
    <row r="2628" spans="1:11" x14ac:dyDescent="0.2">
      <c r="A2628">
        <v>7.5218976630579204E-21</v>
      </c>
      <c r="B2628">
        <v>0.88442775093944004</v>
      </c>
      <c r="C2628">
        <v>0.91700000000000004</v>
      </c>
      <c r="D2628">
        <v>0.71299999999999997</v>
      </c>
      <c r="E2628">
        <v>1.1646154151712599E-16</v>
      </c>
      <c r="F2628">
        <v>5</v>
      </c>
      <c r="G2628" t="s">
        <v>2739</v>
      </c>
      <c r="H2628" t="s">
        <v>2740</v>
      </c>
      <c r="I2628" t="s">
        <v>2739</v>
      </c>
      <c r="J2628" s="1" t="str">
        <f>HYPERLINK("https://zfin.org/ZDB-GENE-030131-8575")</f>
        <v>https://zfin.org/ZDB-GENE-030131-8575</v>
      </c>
      <c r="K2628" t="s">
        <v>2741</v>
      </c>
    </row>
    <row r="2629" spans="1:11" x14ac:dyDescent="0.2">
      <c r="A2629">
        <v>7.9692126599510406E-21</v>
      </c>
      <c r="B2629">
        <v>0.78449101330693305</v>
      </c>
      <c r="C2629">
        <v>0.91700000000000004</v>
      </c>
      <c r="D2629">
        <v>0.69499999999999995</v>
      </c>
      <c r="E2629">
        <v>1.23387319614022E-16</v>
      </c>
      <c r="F2629">
        <v>5</v>
      </c>
      <c r="G2629" t="s">
        <v>2009</v>
      </c>
      <c r="H2629" t="s">
        <v>2010</v>
      </c>
      <c r="I2629" t="s">
        <v>2009</v>
      </c>
      <c r="J2629" s="1" t="str">
        <f>HYPERLINK("https://zfin.org/ZDB-GENE-120215-258")</f>
        <v>https://zfin.org/ZDB-GENE-120215-258</v>
      </c>
      <c r="K2629" t="s">
        <v>2011</v>
      </c>
    </row>
    <row r="2630" spans="1:11" x14ac:dyDescent="0.2">
      <c r="A2630">
        <v>9.2256814037678602E-21</v>
      </c>
      <c r="B2630">
        <v>0.83784990247902502</v>
      </c>
      <c r="C2630">
        <v>0.32300000000000001</v>
      </c>
      <c r="D2630">
        <v>6.4000000000000001E-2</v>
      </c>
      <c r="E2630">
        <v>1.4284122517453801E-16</v>
      </c>
      <c r="F2630">
        <v>5</v>
      </c>
      <c r="G2630" t="s">
        <v>5707</v>
      </c>
      <c r="H2630" t="s">
        <v>5708</v>
      </c>
      <c r="I2630" t="s">
        <v>5707</v>
      </c>
      <c r="J2630" s="1" t="str">
        <f>HYPERLINK("https://zfin.org/ZDB-GENE-070410-49")</f>
        <v>https://zfin.org/ZDB-GENE-070410-49</v>
      </c>
      <c r="K2630" t="s">
        <v>5709</v>
      </c>
    </row>
    <row r="2631" spans="1:11" x14ac:dyDescent="0.2">
      <c r="A2631">
        <v>1.1554168352946099E-20</v>
      </c>
      <c r="B2631">
        <v>1.0413677689907099</v>
      </c>
      <c r="C2631">
        <v>0.39600000000000002</v>
      </c>
      <c r="D2631">
        <v>9.8000000000000004E-2</v>
      </c>
      <c r="E2631">
        <v>1.7889318860866401E-16</v>
      </c>
      <c r="F2631">
        <v>5</v>
      </c>
      <c r="G2631" t="s">
        <v>5710</v>
      </c>
      <c r="H2631" t="s">
        <v>5711</v>
      </c>
      <c r="I2631" t="s">
        <v>5710</v>
      </c>
      <c r="J2631" s="1" t="str">
        <f>HYPERLINK("https://zfin.org/ZDB-GENE-030131-6134")</f>
        <v>https://zfin.org/ZDB-GENE-030131-6134</v>
      </c>
      <c r="K2631" t="s">
        <v>5712</v>
      </c>
    </row>
    <row r="2632" spans="1:11" x14ac:dyDescent="0.2">
      <c r="A2632">
        <v>1.4343746080167899E-20</v>
      </c>
      <c r="B2632">
        <v>-1.48490397283802</v>
      </c>
      <c r="C2632">
        <v>0.80200000000000005</v>
      </c>
      <c r="D2632">
        <v>0.93300000000000005</v>
      </c>
      <c r="E2632">
        <v>2.2208422055923901E-16</v>
      </c>
      <c r="F2632">
        <v>5</v>
      </c>
      <c r="G2632" t="s">
        <v>1447</v>
      </c>
      <c r="H2632" t="s">
        <v>1448</v>
      </c>
      <c r="I2632" t="s">
        <v>1447</v>
      </c>
      <c r="J2632" s="1" t="str">
        <f>HYPERLINK("https://zfin.org/ZDB-GENE-040426-1508")</f>
        <v>https://zfin.org/ZDB-GENE-040426-1508</v>
      </c>
      <c r="K2632" t="s">
        <v>1449</v>
      </c>
    </row>
    <row r="2633" spans="1:11" x14ac:dyDescent="0.2">
      <c r="A2633">
        <v>3.87984492996524E-20</v>
      </c>
      <c r="B2633">
        <v>0.594088188354157</v>
      </c>
      <c r="C2633">
        <v>0.97899999999999998</v>
      </c>
      <c r="D2633">
        <v>0.95199999999999996</v>
      </c>
      <c r="E2633">
        <v>6.0071639050651801E-16</v>
      </c>
      <c r="F2633">
        <v>5</v>
      </c>
      <c r="G2633" t="s">
        <v>2221</v>
      </c>
      <c r="H2633" t="s">
        <v>2222</v>
      </c>
      <c r="I2633" t="s">
        <v>2221</v>
      </c>
      <c r="J2633" s="1" t="str">
        <f>HYPERLINK("https://zfin.org/ZDB-GENE-050208-726")</f>
        <v>https://zfin.org/ZDB-GENE-050208-726</v>
      </c>
      <c r="K2633" t="s">
        <v>2223</v>
      </c>
    </row>
    <row r="2634" spans="1:11" x14ac:dyDescent="0.2">
      <c r="A2634">
        <v>5.5980419424894295E-20</v>
      </c>
      <c r="B2634">
        <v>1.2298691161844399</v>
      </c>
      <c r="C2634">
        <v>0.76</v>
      </c>
      <c r="D2634">
        <v>0.42499999999999999</v>
      </c>
      <c r="E2634">
        <v>8.6674483395563896E-16</v>
      </c>
      <c r="F2634">
        <v>5</v>
      </c>
      <c r="G2634" t="s">
        <v>1318</v>
      </c>
      <c r="H2634" t="s">
        <v>1319</v>
      </c>
      <c r="I2634" t="s">
        <v>1318</v>
      </c>
      <c r="J2634" s="1" t="str">
        <f>HYPERLINK("https://zfin.org/ZDB-GENE-040718-162")</f>
        <v>https://zfin.org/ZDB-GENE-040718-162</v>
      </c>
      <c r="K2634" t="s">
        <v>1320</v>
      </c>
    </row>
    <row r="2635" spans="1:11" x14ac:dyDescent="0.2">
      <c r="A2635">
        <v>5.7702302677336496E-20</v>
      </c>
      <c r="B2635">
        <v>0.40055432617709502</v>
      </c>
      <c r="C2635">
        <v>0.14599999999999999</v>
      </c>
      <c r="D2635">
        <v>1.0999999999999999E-2</v>
      </c>
      <c r="E2635">
        <v>8.934047523531999E-16</v>
      </c>
      <c r="F2635">
        <v>5</v>
      </c>
      <c r="G2635" t="s">
        <v>5713</v>
      </c>
      <c r="H2635" t="s">
        <v>5714</v>
      </c>
      <c r="I2635" t="s">
        <v>5713</v>
      </c>
      <c r="J2635" s="1" t="str">
        <f>HYPERLINK("https://zfin.org/ZDB-GENE-041217-22")</f>
        <v>https://zfin.org/ZDB-GENE-041217-22</v>
      </c>
      <c r="K2635" t="s">
        <v>5715</v>
      </c>
    </row>
    <row r="2636" spans="1:11" x14ac:dyDescent="0.2">
      <c r="A2636">
        <v>5.8176066741240305E-20</v>
      </c>
      <c r="B2636">
        <v>1.02479035769181</v>
      </c>
      <c r="C2636">
        <v>0.54200000000000004</v>
      </c>
      <c r="D2636">
        <v>0.192</v>
      </c>
      <c r="E2636">
        <v>9.0074004135462298E-16</v>
      </c>
      <c r="F2636">
        <v>5</v>
      </c>
      <c r="G2636" t="s">
        <v>5716</v>
      </c>
      <c r="H2636" t="s">
        <v>5717</v>
      </c>
      <c r="I2636" t="s">
        <v>5716</v>
      </c>
      <c r="J2636" s="1" t="str">
        <f>HYPERLINK("https://zfin.org/ZDB-GENE-030131-3481")</f>
        <v>https://zfin.org/ZDB-GENE-030131-3481</v>
      </c>
      <c r="K2636" t="s">
        <v>5718</v>
      </c>
    </row>
    <row r="2637" spans="1:11" x14ac:dyDescent="0.2">
      <c r="A2637">
        <v>6.6640597147614497E-20</v>
      </c>
      <c r="B2637">
        <v>0.97736508918799503</v>
      </c>
      <c r="C2637">
        <v>0.74</v>
      </c>
      <c r="D2637">
        <v>0.374</v>
      </c>
      <c r="E2637">
        <v>1.03179636563651E-15</v>
      </c>
      <c r="F2637">
        <v>5</v>
      </c>
      <c r="G2637" t="s">
        <v>3368</v>
      </c>
      <c r="H2637" t="s">
        <v>3369</v>
      </c>
      <c r="I2637" t="s">
        <v>3368</v>
      </c>
      <c r="J2637" s="1" t="str">
        <f>HYPERLINK("https://zfin.org/ZDB-GENE-040426-1877")</f>
        <v>https://zfin.org/ZDB-GENE-040426-1877</v>
      </c>
      <c r="K2637" t="s">
        <v>3370</v>
      </c>
    </row>
    <row r="2638" spans="1:11" x14ac:dyDescent="0.2">
      <c r="A2638">
        <v>7.8493999120449495E-20</v>
      </c>
      <c r="B2638">
        <v>0.98176655712854599</v>
      </c>
      <c r="C2638">
        <v>0.47899999999999998</v>
      </c>
      <c r="D2638">
        <v>0.152</v>
      </c>
      <c r="E2638">
        <v>1.21532258838192E-15</v>
      </c>
      <c r="F2638">
        <v>5</v>
      </c>
      <c r="G2638" t="s">
        <v>5719</v>
      </c>
      <c r="H2638" t="s">
        <v>5720</v>
      </c>
      <c r="I2638" t="s">
        <v>5719</v>
      </c>
      <c r="J2638" s="1" t="str">
        <f>HYPERLINK("https://zfin.org/ZDB-GENE-090312-170")</f>
        <v>https://zfin.org/ZDB-GENE-090312-170</v>
      </c>
      <c r="K2638" t="s">
        <v>5721</v>
      </c>
    </row>
    <row r="2639" spans="1:11" x14ac:dyDescent="0.2">
      <c r="A2639">
        <v>8.4023430757655305E-20</v>
      </c>
      <c r="B2639">
        <v>1.2422884530729801</v>
      </c>
      <c r="C2639">
        <v>0.53100000000000003</v>
      </c>
      <c r="D2639">
        <v>0.193</v>
      </c>
      <c r="E2639">
        <v>1.3009347784207801E-15</v>
      </c>
      <c r="F2639">
        <v>5</v>
      </c>
      <c r="G2639" t="s">
        <v>2030</v>
      </c>
      <c r="H2639" t="s">
        <v>2031</v>
      </c>
      <c r="I2639" t="s">
        <v>2030</v>
      </c>
      <c r="J2639" s="1" t="str">
        <f>HYPERLINK("https://zfin.org/ZDB-GENE-040319-2")</f>
        <v>https://zfin.org/ZDB-GENE-040319-2</v>
      </c>
      <c r="K2639" t="s">
        <v>2032</v>
      </c>
    </row>
    <row r="2640" spans="1:11" x14ac:dyDescent="0.2">
      <c r="A2640">
        <v>2.0925154932455999E-19</v>
      </c>
      <c r="B2640">
        <v>0.91447020732473405</v>
      </c>
      <c r="C2640">
        <v>0.5</v>
      </c>
      <c r="D2640">
        <v>0.16400000000000001</v>
      </c>
      <c r="E2640">
        <v>3.2398417381921599E-15</v>
      </c>
      <c r="F2640">
        <v>5</v>
      </c>
      <c r="G2640" t="s">
        <v>1018</v>
      </c>
      <c r="H2640" t="s">
        <v>1019</v>
      </c>
      <c r="I2640" t="s">
        <v>1018</v>
      </c>
      <c r="J2640" s="1" t="str">
        <f>HYPERLINK("https://zfin.org/ZDB-GENE-050417-175")</f>
        <v>https://zfin.org/ZDB-GENE-050417-175</v>
      </c>
      <c r="K2640" t="s">
        <v>1020</v>
      </c>
    </row>
    <row r="2641" spans="1:11" x14ac:dyDescent="0.2">
      <c r="A2641">
        <v>5.13620715753759E-19</v>
      </c>
      <c r="B2641">
        <v>-0.66768619954057395</v>
      </c>
      <c r="C2641">
        <v>1</v>
      </c>
      <c r="D2641">
        <v>1</v>
      </c>
      <c r="E2641">
        <v>7.9523895420154504E-15</v>
      </c>
      <c r="F2641">
        <v>5</v>
      </c>
      <c r="G2641" t="s">
        <v>708</v>
      </c>
      <c r="H2641" t="s">
        <v>709</v>
      </c>
      <c r="I2641" t="s">
        <v>708</v>
      </c>
      <c r="J2641" s="1" t="str">
        <f>HYPERLINK("https://zfin.org/ZDB-GENE-030805-3")</f>
        <v>https://zfin.org/ZDB-GENE-030805-3</v>
      </c>
      <c r="K2641" t="s">
        <v>710</v>
      </c>
    </row>
    <row r="2642" spans="1:11" x14ac:dyDescent="0.2">
      <c r="A2642">
        <v>8.7318938380565301E-19</v>
      </c>
      <c r="B2642">
        <v>1.0375784122114</v>
      </c>
      <c r="C2642">
        <v>0.26</v>
      </c>
      <c r="D2642">
        <v>4.5999999999999999E-2</v>
      </c>
      <c r="E2642">
        <v>1.3519591229462901E-14</v>
      </c>
      <c r="F2642">
        <v>5</v>
      </c>
      <c r="G2642" t="s">
        <v>5722</v>
      </c>
      <c r="H2642" t="s">
        <v>5723</v>
      </c>
      <c r="I2642" t="s">
        <v>5722</v>
      </c>
      <c r="J2642" s="1" t="str">
        <f>HYPERLINK("https://zfin.org/ZDB-GENE-050601-2")</f>
        <v>https://zfin.org/ZDB-GENE-050601-2</v>
      </c>
      <c r="K2642" t="s">
        <v>5724</v>
      </c>
    </row>
    <row r="2643" spans="1:11" x14ac:dyDescent="0.2">
      <c r="A2643">
        <v>1.53185748860601E-18</v>
      </c>
      <c r="B2643">
        <v>-2.0494923601141402</v>
      </c>
      <c r="C2643">
        <v>0.35399999999999998</v>
      </c>
      <c r="D2643">
        <v>0.73299999999999998</v>
      </c>
      <c r="E2643">
        <v>2.3717749496086799E-14</v>
      </c>
      <c r="F2643">
        <v>5</v>
      </c>
      <c r="G2643" t="s">
        <v>2428</v>
      </c>
      <c r="H2643" t="s">
        <v>2429</v>
      </c>
      <c r="I2643" t="s">
        <v>2428</v>
      </c>
      <c r="J2643" s="1" t="str">
        <f>HYPERLINK("https://zfin.org/ZDB-GENE-111109-2")</f>
        <v>https://zfin.org/ZDB-GENE-111109-2</v>
      </c>
      <c r="K2643" t="s">
        <v>2430</v>
      </c>
    </row>
    <row r="2644" spans="1:11" x14ac:dyDescent="0.2">
      <c r="A2644">
        <v>3.5679490182503903E-18</v>
      </c>
      <c r="B2644">
        <v>-1.04863270071227</v>
      </c>
      <c r="C2644">
        <v>0.36499999999999999</v>
      </c>
      <c r="D2644">
        <v>0.79500000000000004</v>
      </c>
      <c r="E2644">
        <v>5.5242554649570802E-14</v>
      </c>
      <c r="F2644">
        <v>5</v>
      </c>
      <c r="G2644" t="s">
        <v>1901</v>
      </c>
      <c r="H2644" t="s">
        <v>1902</v>
      </c>
      <c r="I2644" t="s">
        <v>1901</v>
      </c>
      <c r="J2644" s="1" t="str">
        <f>HYPERLINK("https://zfin.org/ZDB-GENE-010129-1")</f>
        <v>https://zfin.org/ZDB-GENE-010129-1</v>
      </c>
      <c r="K2644" t="s">
        <v>1903</v>
      </c>
    </row>
    <row r="2645" spans="1:11" x14ac:dyDescent="0.2">
      <c r="A2645">
        <v>4.5200289476321601E-18</v>
      </c>
      <c r="B2645">
        <v>0.64268913870394095</v>
      </c>
      <c r="C2645">
        <v>0.14599999999999999</v>
      </c>
      <c r="D2645">
        <v>1.2999999999999999E-2</v>
      </c>
      <c r="E2645">
        <v>6.99836081961887E-14</v>
      </c>
      <c r="F2645">
        <v>5</v>
      </c>
      <c r="G2645" t="s">
        <v>5725</v>
      </c>
      <c r="H2645" t="s">
        <v>5726</v>
      </c>
      <c r="I2645" t="s">
        <v>5725</v>
      </c>
      <c r="J2645" s="1" t="str">
        <f>HYPERLINK("https://zfin.org/ZDB-GENE-070727-1")</f>
        <v>https://zfin.org/ZDB-GENE-070727-1</v>
      </c>
      <c r="K2645" t="s">
        <v>5727</v>
      </c>
    </row>
    <row r="2646" spans="1:11" x14ac:dyDescent="0.2">
      <c r="A2646">
        <v>4.9193000707592798E-18</v>
      </c>
      <c r="B2646">
        <v>1.0821108082022199</v>
      </c>
      <c r="C2646">
        <v>0.49</v>
      </c>
      <c r="D2646">
        <v>0.17499999999999999</v>
      </c>
      <c r="E2646">
        <v>7.6165522995566006E-14</v>
      </c>
      <c r="F2646">
        <v>5</v>
      </c>
      <c r="G2646" t="s">
        <v>5728</v>
      </c>
      <c r="H2646" t="s">
        <v>5729</v>
      </c>
      <c r="I2646" t="s">
        <v>5728</v>
      </c>
      <c r="J2646" s="1" t="str">
        <f>HYPERLINK("https://zfin.org/ZDB-GENE-070705-81")</f>
        <v>https://zfin.org/ZDB-GENE-070705-81</v>
      </c>
      <c r="K2646" t="s">
        <v>5730</v>
      </c>
    </row>
    <row r="2647" spans="1:11" x14ac:dyDescent="0.2">
      <c r="A2647">
        <v>5.0020072684599098E-18</v>
      </c>
      <c r="B2647">
        <v>0.36032914039200498</v>
      </c>
      <c r="C2647">
        <v>0.104</v>
      </c>
      <c r="D2647">
        <v>6.0000000000000001E-3</v>
      </c>
      <c r="E2647">
        <v>7.7446078537564796E-14</v>
      </c>
      <c r="F2647">
        <v>5</v>
      </c>
      <c r="G2647" t="s">
        <v>5731</v>
      </c>
      <c r="H2647" t="s">
        <v>5732</v>
      </c>
      <c r="I2647" t="s">
        <v>5731</v>
      </c>
      <c r="J2647" s="1" t="str">
        <f>HYPERLINK("https://zfin.org/ZDB-GENE-041114-149")</f>
        <v>https://zfin.org/ZDB-GENE-041114-149</v>
      </c>
      <c r="K2647" t="s">
        <v>5733</v>
      </c>
    </row>
    <row r="2648" spans="1:11" x14ac:dyDescent="0.2">
      <c r="A2648">
        <v>9.7995814347564303E-18</v>
      </c>
      <c r="B2648">
        <v>0.96435473766671798</v>
      </c>
      <c r="C2648">
        <v>0.90600000000000003</v>
      </c>
      <c r="D2648">
        <v>0.83</v>
      </c>
      <c r="E2648">
        <v>1.5172691935433401E-13</v>
      </c>
      <c r="F2648">
        <v>5</v>
      </c>
      <c r="G2648" t="s">
        <v>1811</v>
      </c>
      <c r="H2648" t="s">
        <v>1812</v>
      </c>
      <c r="I2648" t="s">
        <v>1813</v>
      </c>
      <c r="J2648" s="1" t="str">
        <f>HYPERLINK("https://zfin.org/")</f>
        <v>https://zfin.org/</v>
      </c>
    </row>
    <row r="2649" spans="1:11" x14ac:dyDescent="0.2">
      <c r="A2649">
        <v>1.9079658930289701E-17</v>
      </c>
      <c r="B2649">
        <v>0.42539012429732997</v>
      </c>
      <c r="C2649">
        <v>0.115</v>
      </c>
      <c r="D2649">
        <v>8.0000000000000002E-3</v>
      </c>
      <c r="E2649">
        <v>2.95410359217676E-13</v>
      </c>
      <c r="F2649">
        <v>5</v>
      </c>
      <c r="G2649" t="s">
        <v>5734</v>
      </c>
      <c r="H2649" t="s">
        <v>5735</v>
      </c>
      <c r="I2649" t="s">
        <v>5734</v>
      </c>
      <c r="J2649" s="1" t="str">
        <f>HYPERLINK("https://zfin.org/ZDB-GENE-100405-1")</f>
        <v>https://zfin.org/ZDB-GENE-100405-1</v>
      </c>
      <c r="K2649" t="s">
        <v>5736</v>
      </c>
    </row>
    <row r="2650" spans="1:11" x14ac:dyDescent="0.2">
      <c r="A2650">
        <v>2.0322465190520601E-17</v>
      </c>
      <c r="B2650">
        <v>-1.33720361958371</v>
      </c>
      <c r="C2650">
        <v>7.2999999999999995E-2</v>
      </c>
      <c r="D2650">
        <v>0.54500000000000004</v>
      </c>
      <c r="E2650">
        <v>3.1465272854482999E-13</v>
      </c>
      <c r="F2650">
        <v>5</v>
      </c>
      <c r="G2650" t="s">
        <v>2766</v>
      </c>
      <c r="H2650" t="s">
        <v>2767</v>
      </c>
      <c r="I2650" t="s">
        <v>2766</v>
      </c>
      <c r="J2650" s="1" t="str">
        <f>HYPERLINK("https://zfin.org/ZDB-GENE-041114-138")</f>
        <v>https://zfin.org/ZDB-GENE-041114-138</v>
      </c>
      <c r="K2650" t="s">
        <v>2768</v>
      </c>
    </row>
    <row r="2651" spans="1:11" x14ac:dyDescent="0.2">
      <c r="A2651">
        <v>2.21894900630836E-17</v>
      </c>
      <c r="B2651">
        <v>0.77984006298027597</v>
      </c>
      <c r="C2651">
        <v>0.188</v>
      </c>
      <c r="D2651">
        <v>2.5000000000000001E-2</v>
      </c>
      <c r="E2651">
        <v>3.4355987464672298E-13</v>
      </c>
      <c r="F2651">
        <v>5</v>
      </c>
      <c r="G2651" t="s">
        <v>5737</v>
      </c>
      <c r="H2651" t="s">
        <v>5738</v>
      </c>
      <c r="I2651" t="s">
        <v>5737</v>
      </c>
      <c r="J2651" s="1" t="str">
        <f>HYPERLINK("https://zfin.org/ZDB-GENE-030131-9242")</f>
        <v>https://zfin.org/ZDB-GENE-030131-9242</v>
      </c>
      <c r="K2651" t="s">
        <v>5739</v>
      </c>
    </row>
    <row r="2652" spans="1:11" x14ac:dyDescent="0.2">
      <c r="A2652">
        <v>2.6063505346513999E-17</v>
      </c>
      <c r="B2652">
        <v>-1.66774478740604</v>
      </c>
      <c r="C2652">
        <v>0.104</v>
      </c>
      <c r="D2652">
        <v>0.56100000000000005</v>
      </c>
      <c r="E2652">
        <v>4.0354125328007701E-13</v>
      </c>
      <c r="F2652">
        <v>5</v>
      </c>
      <c r="G2652" t="s">
        <v>3002</v>
      </c>
      <c r="H2652" t="s">
        <v>3003</v>
      </c>
      <c r="I2652" t="s">
        <v>3002</v>
      </c>
      <c r="J2652" s="1" t="str">
        <f>HYPERLINK("https://zfin.org/ZDB-GENE-141215-49")</f>
        <v>https://zfin.org/ZDB-GENE-141215-49</v>
      </c>
      <c r="K2652" t="s">
        <v>3004</v>
      </c>
    </row>
    <row r="2653" spans="1:11" x14ac:dyDescent="0.2">
      <c r="A2653">
        <v>3.3269858633054702E-17</v>
      </c>
      <c r="B2653">
        <v>-1.66952692778915</v>
      </c>
      <c r="C2653">
        <v>0.104</v>
      </c>
      <c r="D2653">
        <v>0.56200000000000006</v>
      </c>
      <c r="E2653">
        <v>5.1511722121558604E-13</v>
      </c>
      <c r="F2653">
        <v>5</v>
      </c>
      <c r="G2653" t="s">
        <v>2681</v>
      </c>
      <c r="H2653" t="s">
        <v>2682</v>
      </c>
      <c r="I2653" t="s">
        <v>2681</v>
      </c>
      <c r="J2653" s="1" t="str">
        <f>HYPERLINK("https://zfin.org/ZDB-GENE-030131-2159")</f>
        <v>https://zfin.org/ZDB-GENE-030131-2159</v>
      </c>
      <c r="K2653" t="s">
        <v>2683</v>
      </c>
    </row>
    <row r="2654" spans="1:11" x14ac:dyDescent="0.2">
      <c r="A2654">
        <v>4.6936947040954702E-17</v>
      </c>
      <c r="B2654">
        <v>0.65527114921825902</v>
      </c>
      <c r="C2654">
        <v>0.92700000000000005</v>
      </c>
      <c r="D2654">
        <v>0.84699999999999998</v>
      </c>
      <c r="E2654">
        <v>7.26724751035102E-13</v>
      </c>
      <c r="F2654">
        <v>5</v>
      </c>
      <c r="G2654" t="s">
        <v>1222</v>
      </c>
      <c r="H2654" t="s">
        <v>1223</v>
      </c>
      <c r="I2654" t="s">
        <v>1222</v>
      </c>
      <c r="J2654" s="1" t="str">
        <f>HYPERLINK("https://zfin.org/ZDB-GENE-060316-3")</f>
        <v>https://zfin.org/ZDB-GENE-060316-3</v>
      </c>
      <c r="K2654" t="s">
        <v>1224</v>
      </c>
    </row>
    <row r="2655" spans="1:11" x14ac:dyDescent="0.2">
      <c r="A2655">
        <v>1.15387648215915E-16</v>
      </c>
      <c r="B2655">
        <v>0.85507677784000802</v>
      </c>
      <c r="C2655">
        <v>0.33300000000000002</v>
      </c>
      <c r="D2655">
        <v>8.5000000000000006E-2</v>
      </c>
      <c r="E2655">
        <v>1.7865469573270099E-12</v>
      </c>
      <c r="F2655">
        <v>5</v>
      </c>
      <c r="G2655" t="s">
        <v>5740</v>
      </c>
      <c r="H2655" t="s">
        <v>5741</v>
      </c>
      <c r="I2655" t="s">
        <v>5740</v>
      </c>
      <c r="J2655" s="1" t="str">
        <f>HYPERLINK("https://zfin.org/ZDB-GENE-121129-3")</f>
        <v>https://zfin.org/ZDB-GENE-121129-3</v>
      </c>
      <c r="K2655" t="s">
        <v>5742</v>
      </c>
    </row>
    <row r="2656" spans="1:11" x14ac:dyDescent="0.2">
      <c r="A2656">
        <v>1.59168272204525E-16</v>
      </c>
      <c r="B2656">
        <v>0.48853237868780203</v>
      </c>
      <c r="C2656">
        <v>0.125</v>
      </c>
      <c r="D2656">
        <v>1.0999999999999999E-2</v>
      </c>
      <c r="E2656">
        <v>2.46440235854265E-12</v>
      </c>
      <c r="F2656">
        <v>5</v>
      </c>
      <c r="G2656" t="s">
        <v>5743</v>
      </c>
      <c r="H2656" t="s">
        <v>5744</v>
      </c>
      <c r="I2656" t="s">
        <v>5743</v>
      </c>
      <c r="J2656" s="1" t="str">
        <f>HYPERLINK("https://zfin.org/ZDB-GENE-140106-118")</f>
        <v>https://zfin.org/ZDB-GENE-140106-118</v>
      </c>
      <c r="K2656" t="s">
        <v>5745</v>
      </c>
    </row>
    <row r="2657" spans="1:11" x14ac:dyDescent="0.2">
      <c r="A2657">
        <v>1.8639526926253301E-16</v>
      </c>
      <c r="B2657">
        <v>0.42082090129451999</v>
      </c>
      <c r="C2657">
        <v>0.125</v>
      </c>
      <c r="D2657">
        <v>1.0999999999999999E-2</v>
      </c>
      <c r="E2657">
        <v>2.8859579539917999E-12</v>
      </c>
      <c r="F2657">
        <v>5</v>
      </c>
      <c r="G2657" t="s">
        <v>5746</v>
      </c>
      <c r="H2657" t="s">
        <v>5747</v>
      </c>
      <c r="I2657" t="s">
        <v>5746</v>
      </c>
      <c r="J2657" s="1" t="str">
        <f>HYPERLINK("https://zfin.org/")</f>
        <v>https://zfin.org/</v>
      </c>
    </row>
    <row r="2658" spans="1:11" x14ac:dyDescent="0.2">
      <c r="A2658">
        <v>1.9811046926204199E-16</v>
      </c>
      <c r="B2658">
        <v>0.72510407926589604</v>
      </c>
      <c r="C2658">
        <v>0.91700000000000004</v>
      </c>
      <c r="D2658">
        <v>0.86299999999999999</v>
      </c>
      <c r="E2658">
        <v>3.0673443955841999E-12</v>
      </c>
      <c r="F2658">
        <v>5</v>
      </c>
      <c r="G2658" t="s">
        <v>1258</v>
      </c>
      <c r="H2658" t="s">
        <v>1259</v>
      </c>
      <c r="I2658" t="s">
        <v>1258</v>
      </c>
      <c r="J2658" s="1" t="str">
        <f>HYPERLINK("https://zfin.org/ZDB-GENE-010328-8")</f>
        <v>https://zfin.org/ZDB-GENE-010328-8</v>
      </c>
      <c r="K2658" t="s">
        <v>1260</v>
      </c>
    </row>
    <row r="2659" spans="1:11" x14ac:dyDescent="0.2">
      <c r="A2659">
        <v>2.12915258124606E-16</v>
      </c>
      <c r="B2659">
        <v>0.84929773286564503</v>
      </c>
      <c r="C2659">
        <v>0.64600000000000002</v>
      </c>
      <c r="D2659">
        <v>0.28599999999999998</v>
      </c>
      <c r="E2659">
        <v>3.2965669415432699E-12</v>
      </c>
      <c r="F2659">
        <v>5</v>
      </c>
      <c r="G2659" t="s">
        <v>5748</v>
      </c>
      <c r="H2659" t="s">
        <v>5749</v>
      </c>
      <c r="I2659" t="s">
        <v>5748</v>
      </c>
      <c r="J2659" s="1" t="str">
        <f>HYPERLINK("https://zfin.org/ZDB-GENE-070912-648")</f>
        <v>https://zfin.org/ZDB-GENE-070912-648</v>
      </c>
      <c r="K2659" t="s">
        <v>5750</v>
      </c>
    </row>
    <row r="2660" spans="1:11" x14ac:dyDescent="0.2">
      <c r="A2660">
        <v>2.6041678522626502E-16</v>
      </c>
      <c r="B2660">
        <v>-1.2541650030501501</v>
      </c>
      <c r="C2660">
        <v>0.125</v>
      </c>
      <c r="D2660">
        <v>0.58299999999999996</v>
      </c>
      <c r="E2660">
        <v>4.0320330856582596E-12</v>
      </c>
      <c r="F2660">
        <v>5</v>
      </c>
      <c r="G2660" t="s">
        <v>2210</v>
      </c>
      <c r="H2660" t="s">
        <v>2211</v>
      </c>
      <c r="I2660" t="s">
        <v>2210</v>
      </c>
      <c r="J2660" s="1" t="str">
        <f>HYPERLINK("https://zfin.org/")</f>
        <v>https://zfin.org/</v>
      </c>
    </row>
    <row r="2661" spans="1:11" x14ac:dyDescent="0.2">
      <c r="A2661">
        <v>2.6201754780229398E-16</v>
      </c>
      <c r="B2661">
        <v>0.88298231352521805</v>
      </c>
      <c r="C2661">
        <v>0.67700000000000005</v>
      </c>
      <c r="D2661">
        <v>0.37</v>
      </c>
      <c r="E2661">
        <v>4.0568176926229197E-12</v>
      </c>
      <c r="F2661">
        <v>5</v>
      </c>
      <c r="G2661" t="s">
        <v>3290</v>
      </c>
      <c r="H2661" t="s">
        <v>3291</v>
      </c>
      <c r="I2661" t="s">
        <v>3290</v>
      </c>
      <c r="J2661" s="1" t="str">
        <f>HYPERLINK("https://zfin.org/ZDB-GENE-030131-6757")</f>
        <v>https://zfin.org/ZDB-GENE-030131-6757</v>
      </c>
      <c r="K2661" t="s">
        <v>3292</v>
      </c>
    </row>
    <row r="2662" spans="1:11" x14ac:dyDescent="0.2">
      <c r="A2662">
        <v>6.8378723838581903E-16</v>
      </c>
      <c r="B2662">
        <v>-2.49025224907458</v>
      </c>
      <c r="C2662">
        <v>0.47899999999999998</v>
      </c>
      <c r="D2662">
        <v>0.79400000000000004</v>
      </c>
      <c r="E2662">
        <v>1.0587077811927599E-11</v>
      </c>
      <c r="F2662">
        <v>5</v>
      </c>
      <c r="G2662" t="s">
        <v>2969</v>
      </c>
      <c r="H2662" t="s">
        <v>2970</v>
      </c>
      <c r="I2662" t="s">
        <v>2969</v>
      </c>
      <c r="J2662" s="1" t="str">
        <f>HYPERLINK("https://zfin.org/ZDB-GENE-070705-532")</f>
        <v>https://zfin.org/ZDB-GENE-070705-532</v>
      </c>
      <c r="K2662" t="s">
        <v>2971</v>
      </c>
    </row>
    <row r="2663" spans="1:11" x14ac:dyDescent="0.2">
      <c r="A2663">
        <v>8.8017909050462101E-16</v>
      </c>
      <c r="B2663">
        <v>0.70854158377870002</v>
      </c>
      <c r="C2663">
        <v>0.36499999999999999</v>
      </c>
      <c r="D2663">
        <v>0.10199999999999999</v>
      </c>
      <c r="E2663">
        <v>1.3627812858283E-11</v>
      </c>
      <c r="F2663">
        <v>5</v>
      </c>
      <c r="G2663" t="s">
        <v>5751</v>
      </c>
      <c r="H2663" t="s">
        <v>5752</v>
      </c>
      <c r="I2663" t="s">
        <v>5751</v>
      </c>
      <c r="J2663" s="1" t="str">
        <f>HYPERLINK("https://zfin.org/ZDB-GENE-980526-68")</f>
        <v>https://zfin.org/ZDB-GENE-980526-68</v>
      </c>
      <c r="K2663" t="s">
        <v>5753</v>
      </c>
    </row>
    <row r="2664" spans="1:11" x14ac:dyDescent="0.2">
      <c r="A2664">
        <v>1.1029189335678999E-15</v>
      </c>
      <c r="B2664">
        <v>0.63369375577060205</v>
      </c>
      <c r="C2664">
        <v>0.22900000000000001</v>
      </c>
      <c r="D2664">
        <v>4.1000000000000002E-2</v>
      </c>
      <c r="E2664">
        <v>1.7076493848431799E-11</v>
      </c>
      <c r="F2664">
        <v>5</v>
      </c>
      <c r="G2664" t="s">
        <v>5754</v>
      </c>
      <c r="H2664" t="s">
        <v>5755</v>
      </c>
      <c r="I2664" t="s">
        <v>5754</v>
      </c>
      <c r="J2664" s="1" t="str">
        <f>HYPERLINK("https://zfin.org/ZDB-GENE-130603-41")</f>
        <v>https://zfin.org/ZDB-GENE-130603-41</v>
      </c>
      <c r="K2664" t="s">
        <v>5756</v>
      </c>
    </row>
    <row r="2665" spans="1:11" x14ac:dyDescent="0.2">
      <c r="A2665">
        <v>1.39887932408968E-15</v>
      </c>
      <c r="B2665">
        <v>0.79404269169755803</v>
      </c>
      <c r="C2665">
        <v>0.78100000000000003</v>
      </c>
      <c r="D2665">
        <v>0.52400000000000002</v>
      </c>
      <c r="E2665">
        <v>2.1658848574880499E-11</v>
      </c>
      <c r="F2665">
        <v>5</v>
      </c>
      <c r="G2665" t="s">
        <v>5757</v>
      </c>
      <c r="H2665" t="s">
        <v>5758</v>
      </c>
      <c r="I2665" t="s">
        <v>5757</v>
      </c>
      <c r="J2665" s="1" t="str">
        <f>HYPERLINK("https://zfin.org/ZDB-GENE-000406-5")</f>
        <v>https://zfin.org/ZDB-GENE-000406-5</v>
      </c>
      <c r="K2665" t="s">
        <v>5759</v>
      </c>
    </row>
    <row r="2666" spans="1:11" x14ac:dyDescent="0.2">
      <c r="A2666">
        <v>1.5407360320610301E-15</v>
      </c>
      <c r="B2666">
        <v>0.88089072461005502</v>
      </c>
      <c r="C2666">
        <v>0.96899999999999997</v>
      </c>
      <c r="D2666">
        <v>0.91</v>
      </c>
      <c r="E2666">
        <v>2.3855215984400999E-11</v>
      </c>
      <c r="F2666">
        <v>5</v>
      </c>
      <c r="G2666" t="s">
        <v>1056</v>
      </c>
      <c r="H2666" t="s">
        <v>1057</v>
      </c>
      <c r="I2666" t="s">
        <v>1056</v>
      </c>
      <c r="J2666" s="1" t="str">
        <f>HYPERLINK("https://zfin.org/ZDB-GENE-040426-2315")</f>
        <v>https://zfin.org/ZDB-GENE-040426-2315</v>
      </c>
      <c r="K2666" t="s">
        <v>1058</v>
      </c>
    </row>
    <row r="2667" spans="1:11" x14ac:dyDescent="0.2">
      <c r="A2667">
        <v>1.57273360905329E-15</v>
      </c>
      <c r="B2667">
        <v>1.2269013780945499</v>
      </c>
      <c r="C2667">
        <v>0.59399999999999997</v>
      </c>
      <c r="D2667">
        <v>0.28699999999999998</v>
      </c>
      <c r="E2667">
        <v>2.43506344689722E-11</v>
      </c>
      <c r="F2667">
        <v>5</v>
      </c>
      <c r="G2667" t="s">
        <v>5760</v>
      </c>
      <c r="H2667" t="s">
        <v>5761</v>
      </c>
      <c r="I2667" t="s">
        <v>5760</v>
      </c>
      <c r="J2667" s="1" t="str">
        <f>HYPERLINK("https://zfin.org/ZDB-GENE-051030-98")</f>
        <v>https://zfin.org/ZDB-GENE-051030-98</v>
      </c>
      <c r="K2667" t="s">
        <v>5762</v>
      </c>
    </row>
    <row r="2668" spans="1:11" x14ac:dyDescent="0.2">
      <c r="A2668">
        <v>2.0769900150595301E-15</v>
      </c>
      <c r="B2668">
        <v>0.47614235555987</v>
      </c>
      <c r="C2668">
        <v>0.13500000000000001</v>
      </c>
      <c r="D2668">
        <v>1.4E-2</v>
      </c>
      <c r="E2668">
        <v>3.2158036403166699E-11</v>
      </c>
      <c r="F2668">
        <v>5</v>
      </c>
      <c r="G2668" t="s">
        <v>5763</v>
      </c>
      <c r="H2668" t="s">
        <v>5764</v>
      </c>
      <c r="I2668" t="s">
        <v>5765</v>
      </c>
      <c r="J2668" s="1" t="str">
        <f>HYPERLINK("https://zfin.org/ZDB-GENE-081119-4")</f>
        <v>https://zfin.org/ZDB-GENE-081119-4</v>
      </c>
      <c r="K2668" t="s">
        <v>5766</v>
      </c>
    </row>
    <row r="2669" spans="1:11" x14ac:dyDescent="0.2">
      <c r="A2669">
        <v>4.0671769460546302E-15</v>
      </c>
      <c r="B2669">
        <v>0.46628736502540802</v>
      </c>
      <c r="C2669">
        <v>0.115</v>
      </c>
      <c r="D2669">
        <v>0.01</v>
      </c>
      <c r="E2669">
        <v>6.2972100655763794E-11</v>
      </c>
      <c r="F2669">
        <v>5</v>
      </c>
      <c r="G2669" t="s">
        <v>5767</v>
      </c>
      <c r="H2669" t="s">
        <v>5768</v>
      </c>
      <c r="I2669" t="s">
        <v>5767</v>
      </c>
      <c r="J2669" s="1" t="str">
        <f>HYPERLINK("https://zfin.org/ZDB-GENE-070410-7")</f>
        <v>https://zfin.org/ZDB-GENE-070410-7</v>
      </c>
      <c r="K2669" t="s">
        <v>5769</v>
      </c>
    </row>
    <row r="2670" spans="1:11" x14ac:dyDescent="0.2">
      <c r="A2670">
        <v>4.6789640216447299E-15</v>
      </c>
      <c r="B2670">
        <v>0.337264825024366</v>
      </c>
      <c r="C2670">
        <v>0.104</v>
      </c>
      <c r="D2670">
        <v>8.0000000000000002E-3</v>
      </c>
      <c r="E2670">
        <v>7.2444399947125405E-11</v>
      </c>
      <c r="F2670">
        <v>5</v>
      </c>
      <c r="G2670" t="s">
        <v>5770</v>
      </c>
      <c r="H2670" t="s">
        <v>5771</v>
      </c>
      <c r="I2670" t="s">
        <v>5770</v>
      </c>
      <c r="J2670" s="1" t="str">
        <f>HYPERLINK("https://zfin.org/ZDB-GENE-030901-1")</f>
        <v>https://zfin.org/ZDB-GENE-030901-1</v>
      </c>
      <c r="K2670" t="s">
        <v>5772</v>
      </c>
    </row>
    <row r="2671" spans="1:11" x14ac:dyDescent="0.2">
      <c r="A2671">
        <v>4.8251837441579898E-15</v>
      </c>
      <c r="B2671">
        <v>-1.97133768519937</v>
      </c>
      <c r="C2671">
        <v>0.53100000000000003</v>
      </c>
      <c r="D2671">
        <v>0.79400000000000004</v>
      </c>
      <c r="E2671">
        <v>7.4708319910798206E-11</v>
      </c>
      <c r="F2671">
        <v>5</v>
      </c>
      <c r="G2671" t="s">
        <v>2606</v>
      </c>
      <c r="H2671" t="s">
        <v>2607</v>
      </c>
      <c r="I2671" t="s">
        <v>2606</v>
      </c>
      <c r="J2671" s="1" t="str">
        <f>HYPERLINK("https://zfin.org/ZDB-GENE-121214-200")</f>
        <v>https://zfin.org/ZDB-GENE-121214-200</v>
      </c>
      <c r="K2671" t="s">
        <v>2608</v>
      </c>
    </row>
    <row r="2672" spans="1:11" x14ac:dyDescent="0.2">
      <c r="A2672">
        <v>5.3203060022365703E-15</v>
      </c>
      <c r="B2672">
        <v>0.67225337937538399</v>
      </c>
      <c r="C2672">
        <v>0.95799999999999996</v>
      </c>
      <c r="D2672">
        <v>0.84299999999999997</v>
      </c>
      <c r="E2672">
        <v>8.23742978326288E-11</v>
      </c>
      <c r="F2672">
        <v>5</v>
      </c>
      <c r="G2672" t="s">
        <v>2072</v>
      </c>
      <c r="H2672" t="s">
        <v>2073</v>
      </c>
      <c r="I2672" t="s">
        <v>2072</v>
      </c>
      <c r="J2672" s="1" t="str">
        <f>HYPERLINK("https://zfin.org/ZDB-GENE-030131-8599")</f>
        <v>https://zfin.org/ZDB-GENE-030131-8599</v>
      </c>
      <c r="K2672" t="s">
        <v>2074</v>
      </c>
    </row>
    <row r="2673" spans="1:11" x14ac:dyDescent="0.2">
      <c r="A2673">
        <v>9.9412770599746399E-15</v>
      </c>
      <c r="B2673">
        <v>-1.1531881855694099</v>
      </c>
      <c r="C2673">
        <v>5.1999999999999998E-2</v>
      </c>
      <c r="D2673">
        <v>0.47399999999999998</v>
      </c>
      <c r="E2673">
        <v>1.53920792719587E-10</v>
      </c>
      <c r="F2673">
        <v>5</v>
      </c>
      <c r="G2673" t="s">
        <v>3995</v>
      </c>
      <c r="H2673" t="s">
        <v>3996</v>
      </c>
      <c r="I2673" t="s">
        <v>3995</v>
      </c>
      <c r="J2673" s="1" t="str">
        <f>HYPERLINK("https://zfin.org/ZDB-GENE-050417-338")</f>
        <v>https://zfin.org/ZDB-GENE-050417-338</v>
      </c>
      <c r="K2673" t="s">
        <v>3997</v>
      </c>
    </row>
    <row r="2674" spans="1:11" x14ac:dyDescent="0.2">
      <c r="A2674">
        <v>2.2996970124639798E-14</v>
      </c>
      <c r="B2674">
        <v>-1.30541238773491</v>
      </c>
      <c r="C2674">
        <v>0.219</v>
      </c>
      <c r="D2674">
        <v>0.61399999999999999</v>
      </c>
      <c r="E2674">
        <v>3.56062088439798E-10</v>
      </c>
      <c r="F2674">
        <v>5</v>
      </c>
      <c r="G2674" t="s">
        <v>2826</v>
      </c>
      <c r="H2674" t="s">
        <v>2827</v>
      </c>
      <c r="I2674" t="s">
        <v>2826</v>
      </c>
      <c r="J2674" s="1" t="str">
        <f>HYPERLINK("https://zfin.org/ZDB-GENE-040426-2826")</f>
        <v>https://zfin.org/ZDB-GENE-040426-2826</v>
      </c>
      <c r="K2674" t="s">
        <v>2828</v>
      </c>
    </row>
    <row r="2675" spans="1:11" x14ac:dyDescent="0.2">
      <c r="A2675">
        <v>4.2805287383250299E-14</v>
      </c>
      <c r="B2675">
        <v>0.52474691109728</v>
      </c>
      <c r="C2675">
        <v>0.16700000000000001</v>
      </c>
      <c r="D2675">
        <v>2.5000000000000001E-2</v>
      </c>
      <c r="E2675">
        <v>6.6275426455486504E-10</v>
      </c>
      <c r="F2675">
        <v>5</v>
      </c>
      <c r="G2675" t="s">
        <v>5773</v>
      </c>
      <c r="H2675" t="s">
        <v>5774</v>
      </c>
      <c r="I2675" t="s">
        <v>5773</v>
      </c>
      <c r="J2675" s="1" t="str">
        <f>HYPERLINK("https://zfin.org/ZDB-GENE-041001-139")</f>
        <v>https://zfin.org/ZDB-GENE-041001-139</v>
      </c>
      <c r="K2675" t="s">
        <v>5775</v>
      </c>
    </row>
    <row r="2676" spans="1:11" x14ac:dyDescent="0.2">
      <c r="A2676">
        <v>5.9054218273870099E-14</v>
      </c>
      <c r="B2676">
        <v>0.79302481001319103</v>
      </c>
      <c r="C2676">
        <v>0.52100000000000002</v>
      </c>
      <c r="D2676">
        <v>0.22600000000000001</v>
      </c>
      <c r="E2676">
        <v>9.1433646153432999E-10</v>
      </c>
      <c r="F2676">
        <v>5</v>
      </c>
      <c r="G2676" t="s">
        <v>5776</v>
      </c>
      <c r="H2676" t="s">
        <v>5777</v>
      </c>
      <c r="I2676" t="s">
        <v>5776</v>
      </c>
      <c r="J2676" s="1" t="str">
        <f>HYPERLINK("https://zfin.org/ZDB-GENE-060526-166")</f>
        <v>https://zfin.org/ZDB-GENE-060526-166</v>
      </c>
      <c r="K2676" t="s">
        <v>5778</v>
      </c>
    </row>
    <row r="2677" spans="1:11" x14ac:dyDescent="0.2">
      <c r="A2677">
        <v>6.2857051528538805E-14</v>
      </c>
      <c r="B2677">
        <v>-0.74036893124308401</v>
      </c>
      <c r="C2677">
        <v>1</v>
      </c>
      <c r="D2677">
        <v>1</v>
      </c>
      <c r="E2677">
        <v>9.7321572881636708E-10</v>
      </c>
      <c r="F2677">
        <v>5</v>
      </c>
      <c r="G2677" t="s">
        <v>860</v>
      </c>
      <c r="H2677" t="s">
        <v>861</v>
      </c>
      <c r="I2677" t="s">
        <v>860</v>
      </c>
      <c r="J2677" s="1" t="str">
        <f>HYPERLINK("https://zfin.org/ZDB-GENE-080225-18")</f>
        <v>https://zfin.org/ZDB-GENE-080225-18</v>
      </c>
      <c r="K2677" t="s">
        <v>862</v>
      </c>
    </row>
    <row r="2678" spans="1:11" x14ac:dyDescent="0.2">
      <c r="A2678">
        <v>1.1334833456094501E-13</v>
      </c>
      <c r="B2678">
        <v>0.82784452461173297</v>
      </c>
      <c r="C2678">
        <v>0.83299999999999996</v>
      </c>
      <c r="D2678">
        <v>0.65200000000000002</v>
      </c>
      <c r="E2678">
        <v>1.7549722640071099E-9</v>
      </c>
      <c r="F2678">
        <v>5</v>
      </c>
      <c r="G2678" t="s">
        <v>3157</v>
      </c>
      <c r="H2678" t="s">
        <v>3158</v>
      </c>
      <c r="I2678" t="s">
        <v>3157</v>
      </c>
      <c r="J2678" s="1" t="str">
        <f>HYPERLINK("https://zfin.org/")</f>
        <v>https://zfin.org/</v>
      </c>
    </row>
    <row r="2679" spans="1:11" x14ac:dyDescent="0.2">
      <c r="A2679">
        <v>1.3393180977285499E-13</v>
      </c>
      <c r="B2679">
        <v>-0.61606305052087296</v>
      </c>
      <c r="C2679">
        <v>0.89600000000000002</v>
      </c>
      <c r="D2679">
        <v>0.97499999999999998</v>
      </c>
      <c r="E2679">
        <v>2.0736662107131201E-9</v>
      </c>
      <c r="F2679">
        <v>5</v>
      </c>
      <c r="G2679" t="s">
        <v>2434</v>
      </c>
      <c r="H2679" t="s">
        <v>2435</v>
      </c>
      <c r="I2679" t="s">
        <v>2434</v>
      </c>
      <c r="J2679" s="1" t="str">
        <f>HYPERLINK("https://zfin.org/ZDB-GENE-030131-9744")</f>
        <v>https://zfin.org/ZDB-GENE-030131-9744</v>
      </c>
      <c r="K2679" t="s">
        <v>2436</v>
      </c>
    </row>
    <row r="2680" spans="1:11" x14ac:dyDescent="0.2">
      <c r="A2680">
        <v>1.5050174115673399E-13</v>
      </c>
      <c r="B2680">
        <v>-1.38508889065728</v>
      </c>
      <c r="C2680">
        <v>0.115</v>
      </c>
      <c r="D2680">
        <v>0.50800000000000001</v>
      </c>
      <c r="E2680">
        <v>2.3302184583297102E-9</v>
      </c>
      <c r="F2680">
        <v>5</v>
      </c>
      <c r="G2680" t="s">
        <v>2954</v>
      </c>
      <c r="H2680" t="s">
        <v>2955</v>
      </c>
      <c r="I2680" t="s">
        <v>2954</v>
      </c>
      <c r="J2680" s="1" t="str">
        <f>HYPERLINK("https://zfin.org/ZDB-GENE-031112-4")</f>
        <v>https://zfin.org/ZDB-GENE-031112-4</v>
      </c>
      <c r="K2680" t="s">
        <v>2956</v>
      </c>
    </row>
    <row r="2681" spans="1:11" x14ac:dyDescent="0.2">
      <c r="A2681">
        <v>1.6879342661126101E-13</v>
      </c>
      <c r="B2681">
        <v>0.72711719584376999</v>
      </c>
      <c r="C2681">
        <v>0.33300000000000002</v>
      </c>
      <c r="D2681">
        <v>0.1</v>
      </c>
      <c r="E2681">
        <v>2.61342862422216E-9</v>
      </c>
      <c r="F2681">
        <v>5</v>
      </c>
      <c r="G2681" t="s">
        <v>5779</v>
      </c>
      <c r="H2681" t="s">
        <v>5780</v>
      </c>
      <c r="I2681" t="s">
        <v>5779</v>
      </c>
      <c r="J2681" s="1" t="str">
        <f>HYPERLINK("https://zfin.org/ZDB-GENE-030131-913")</f>
        <v>https://zfin.org/ZDB-GENE-030131-913</v>
      </c>
      <c r="K2681" t="s">
        <v>5781</v>
      </c>
    </row>
    <row r="2682" spans="1:11" x14ac:dyDescent="0.2">
      <c r="A2682">
        <v>2.8538736340644202E-13</v>
      </c>
      <c r="B2682">
        <v>0.74236767327077002</v>
      </c>
      <c r="C2682">
        <v>0.47899999999999998</v>
      </c>
      <c r="D2682">
        <v>0.20100000000000001</v>
      </c>
      <c r="E2682">
        <v>4.4186525476219399E-9</v>
      </c>
      <c r="F2682">
        <v>5</v>
      </c>
      <c r="G2682" t="s">
        <v>5782</v>
      </c>
      <c r="H2682" t="s">
        <v>5783</v>
      </c>
      <c r="I2682" t="s">
        <v>5782</v>
      </c>
      <c r="J2682" s="1" t="str">
        <f>HYPERLINK("https://zfin.org/ZDB-GENE-041114-44")</f>
        <v>https://zfin.org/ZDB-GENE-041114-44</v>
      </c>
      <c r="K2682" t="s">
        <v>5784</v>
      </c>
    </row>
    <row r="2683" spans="1:11" x14ac:dyDescent="0.2">
      <c r="A2683">
        <v>3.1696520598051302E-13</v>
      </c>
      <c r="B2683">
        <v>0.74194686338195104</v>
      </c>
      <c r="C2683">
        <v>0.66700000000000004</v>
      </c>
      <c r="D2683">
        <v>0.38100000000000001</v>
      </c>
      <c r="E2683">
        <v>4.9075722841962803E-9</v>
      </c>
      <c r="F2683">
        <v>5</v>
      </c>
      <c r="G2683" t="s">
        <v>5785</v>
      </c>
      <c r="H2683" t="s">
        <v>5786</v>
      </c>
      <c r="I2683" t="s">
        <v>5785</v>
      </c>
      <c r="J2683" s="1" t="str">
        <f>HYPERLINK("https://zfin.org/ZDB-GENE-030131-1334")</f>
        <v>https://zfin.org/ZDB-GENE-030131-1334</v>
      </c>
      <c r="K2683" t="s">
        <v>5787</v>
      </c>
    </row>
    <row r="2684" spans="1:11" x14ac:dyDescent="0.2">
      <c r="A2684">
        <v>4.4039211403961401E-13</v>
      </c>
      <c r="B2684">
        <v>0.37555647558216498</v>
      </c>
      <c r="C2684">
        <v>0.115</v>
      </c>
      <c r="D2684">
        <v>1.2E-2</v>
      </c>
      <c r="E2684">
        <v>6.8185911016753402E-9</v>
      </c>
      <c r="F2684">
        <v>5</v>
      </c>
      <c r="G2684" t="s">
        <v>5788</v>
      </c>
      <c r="H2684" t="s">
        <v>5789</v>
      </c>
      <c r="I2684" t="s">
        <v>5788</v>
      </c>
      <c r="J2684" s="1" t="str">
        <f>HYPERLINK("https://zfin.org/ZDB-GENE-010724-2")</f>
        <v>https://zfin.org/ZDB-GENE-010724-2</v>
      </c>
      <c r="K2684" t="s">
        <v>5790</v>
      </c>
    </row>
    <row r="2685" spans="1:11" x14ac:dyDescent="0.2">
      <c r="A2685">
        <v>2.0507217976489901E-12</v>
      </c>
      <c r="B2685">
        <v>-1.4256623065812399</v>
      </c>
      <c r="C2685">
        <v>0.13500000000000001</v>
      </c>
      <c r="D2685">
        <v>0.51200000000000001</v>
      </c>
      <c r="E2685">
        <v>3.1751325592999301E-8</v>
      </c>
      <c r="F2685">
        <v>5</v>
      </c>
      <c r="G2685" t="s">
        <v>5330</v>
      </c>
      <c r="H2685" t="s">
        <v>5331</v>
      </c>
      <c r="I2685" t="s">
        <v>5330</v>
      </c>
      <c r="J2685" s="1" t="str">
        <f>HYPERLINK("https://zfin.org/ZDB-GENE-080917-47")</f>
        <v>https://zfin.org/ZDB-GENE-080917-47</v>
      </c>
      <c r="K2685" t="s">
        <v>5332</v>
      </c>
    </row>
    <row r="2686" spans="1:11" x14ac:dyDescent="0.2">
      <c r="A2686">
        <v>2.8583550741439302E-12</v>
      </c>
      <c r="B2686">
        <v>0.44173761255129002</v>
      </c>
      <c r="C2686">
        <v>1</v>
      </c>
      <c r="D2686">
        <v>0.98899999999999999</v>
      </c>
      <c r="E2686">
        <v>4.4255911612970497E-8</v>
      </c>
      <c r="F2686">
        <v>5</v>
      </c>
      <c r="G2686" t="s">
        <v>821</v>
      </c>
      <c r="H2686" t="s">
        <v>822</v>
      </c>
      <c r="I2686" t="s">
        <v>821</v>
      </c>
      <c r="J2686" s="1" t="str">
        <f>HYPERLINK("https://zfin.org/ZDB-GENE-010328-2")</f>
        <v>https://zfin.org/ZDB-GENE-010328-2</v>
      </c>
      <c r="K2686" t="s">
        <v>823</v>
      </c>
    </row>
    <row r="2687" spans="1:11" x14ac:dyDescent="0.2">
      <c r="A2687">
        <v>3.21037483757092E-12</v>
      </c>
      <c r="B2687">
        <v>0.62460999151698904</v>
      </c>
      <c r="C2687">
        <v>0.85399999999999998</v>
      </c>
      <c r="D2687">
        <v>0.627</v>
      </c>
      <c r="E2687">
        <v>4.97062336101105E-8</v>
      </c>
      <c r="F2687">
        <v>5</v>
      </c>
      <c r="G2687" t="s">
        <v>2401</v>
      </c>
      <c r="H2687" t="s">
        <v>2402</v>
      </c>
      <c r="I2687" t="s">
        <v>2401</v>
      </c>
      <c r="J2687" s="1" t="str">
        <f>HYPERLINK("https://zfin.org/ZDB-GENE-071205-8")</f>
        <v>https://zfin.org/ZDB-GENE-071205-8</v>
      </c>
      <c r="K2687" t="s">
        <v>2403</v>
      </c>
    </row>
    <row r="2688" spans="1:11" x14ac:dyDescent="0.2">
      <c r="A2688">
        <v>3.5486266276132098E-12</v>
      </c>
      <c r="B2688">
        <v>0.58064040985490994</v>
      </c>
      <c r="C2688">
        <v>0.24</v>
      </c>
      <c r="D2688">
        <v>5.8999999999999997E-2</v>
      </c>
      <c r="E2688">
        <v>5.4943386075335403E-8</v>
      </c>
      <c r="F2688">
        <v>5</v>
      </c>
      <c r="G2688" t="s">
        <v>5791</v>
      </c>
      <c r="H2688" t="s">
        <v>5792</v>
      </c>
      <c r="I2688" t="s">
        <v>5791</v>
      </c>
      <c r="J2688" s="1" t="str">
        <f>HYPERLINK("https://zfin.org/ZDB-GENE-040724-194")</f>
        <v>https://zfin.org/ZDB-GENE-040724-194</v>
      </c>
      <c r="K2688" t="s">
        <v>5793</v>
      </c>
    </row>
    <row r="2689" spans="1:11" x14ac:dyDescent="0.2">
      <c r="A2689">
        <v>3.8483413765614598E-12</v>
      </c>
      <c r="B2689">
        <v>0.82091721178044097</v>
      </c>
      <c r="C2689">
        <v>0.45800000000000002</v>
      </c>
      <c r="D2689">
        <v>0.188</v>
      </c>
      <c r="E2689">
        <v>5.9583869533301103E-8</v>
      </c>
      <c r="F2689">
        <v>5</v>
      </c>
      <c r="G2689" t="s">
        <v>5172</v>
      </c>
      <c r="H2689" t="s">
        <v>5173</v>
      </c>
      <c r="I2689" t="s">
        <v>5172</v>
      </c>
      <c r="J2689" s="1" t="str">
        <f>HYPERLINK("https://zfin.org/ZDB-GENE-131127-337")</f>
        <v>https://zfin.org/ZDB-GENE-131127-337</v>
      </c>
      <c r="K2689" t="s">
        <v>5174</v>
      </c>
    </row>
    <row r="2690" spans="1:11" x14ac:dyDescent="0.2">
      <c r="A2690">
        <v>4.3998992169575796E-12</v>
      </c>
      <c r="B2690">
        <v>-2.33668529972973</v>
      </c>
      <c r="C2690">
        <v>0.83299999999999996</v>
      </c>
      <c r="D2690">
        <v>0.94699999999999995</v>
      </c>
      <c r="E2690">
        <v>6.8123639576154202E-8</v>
      </c>
      <c r="F2690">
        <v>5</v>
      </c>
      <c r="G2690" t="s">
        <v>2981</v>
      </c>
      <c r="H2690" t="s">
        <v>2982</v>
      </c>
      <c r="I2690" t="s">
        <v>2981</v>
      </c>
      <c r="J2690" s="1" t="str">
        <f>HYPERLINK("https://zfin.org/ZDB-GENE-121214-193")</f>
        <v>https://zfin.org/ZDB-GENE-121214-193</v>
      </c>
      <c r="K2690" t="s">
        <v>2983</v>
      </c>
    </row>
    <row r="2691" spans="1:11" x14ac:dyDescent="0.2">
      <c r="A2691">
        <v>4.5388557915701797E-12</v>
      </c>
      <c r="B2691">
        <v>0.66873825212521398</v>
      </c>
      <c r="C2691">
        <v>0.30199999999999999</v>
      </c>
      <c r="D2691">
        <v>8.8999999999999996E-2</v>
      </c>
      <c r="E2691">
        <v>7.0275104220881105E-8</v>
      </c>
      <c r="F2691">
        <v>5</v>
      </c>
      <c r="G2691" t="s">
        <v>5794</v>
      </c>
      <c r="H2691" t="s">
        <v>5795</v>
      </c>
      <c r="I2691" t="s">
        <v>5794</v>
      </c>
      <c r="J2691" s="1" t="str">
        <f>HYPERLINK("https://zfin.org/ZDB-GENE-030131-3264")</f>
        <v>https://zfin.org/ZDB-GENE-030131-3264</v>
      </c>
      <c r="K2691" t="s">
        <v>5796</v>
      </c>
    </row>
    <row r="2692" spans="1:11" x14ac:dyDescent="0.2">
      <c r="A2692">
        <v>5.5799702968719897E-12</v>
      </c>
      <c r="B2692">
        <v>-0.68224309056779597</v>
      </c>
      <c r="C2692">
        <v>0.56200000000000006</v>
      </c>
      <c r="D2692">
        <v>0.84199999999999997</v>
      </c>
      <c r="E2692">
        <v>8.6394680106469002E-8</v>
      </c>
      <c r="F2692">
        <v>5</v>
      </c>
      <c r="G2692" t="s">
        <v>1805</v>
      </c>
      <c r="H2692" t="s">
        <v>1806</v>
      </c>
      <c r="I2692" t="s">
        <v>1805</v>
      </c>
      <c r="J2692" s="1" t="str">
        <f>HYPERLINK("https://zfin.org/ZDB-GENE-050307-5")</f>
        <v>https://zfin.org/ZDB-GENE-050307-5</v>
      </c>
      <c r="K2692" t="s">
        <v>1807</v>
      </c>
    </row>
    <row r="2693" spans="1:11" x14ac:dyDescent="0.2">
      <c r="A2693">
        <v>7.1851172546938602E-12</v>
      </c>
      <c r="B2693">
        <v>0.89822330383639204</v>
      </c>
      <c r="C2693">
        <v>0.52100000000000002</v>
      </c>
      <c r="D2693">
        <v>0.25600000000000001</v>
      </c>
      <c r="E2693">
        <v>1.11247170454425E-7</v>
      </c>
      <c r="F2693">
        <v>5</v>
      </c>
      <c r="G2693" t="s">
        <v>5797</v>
      </c>
      <c r="H2693" t="s">
        <v>5798</v>
      </c>
      <c r="I2693" t="s">
        <v>5797</v>
      </c>
      <c r="J2693" s="1" t="str">
        <f>HYPERLINK("https://zfin.org/ZDB-GENE-030219-204")</f>
        <v>https://zfin.org/ZDB-GENE-030219-204</v>
      </c>
      <c r="K2693" t="s">
        <v>5799</v>
      </c>
    </row>
    <row r="2694" spans="1:11" x14ac:dyDescent="0.2">
      <c r="A2694">
        <v>7.5248609313471192E-12</v>
      </c>
      <c r="B2694">
        <v>0.452865976418801</v>
      </c>
      <c r="C2694">
        <v>1</v>
      </c>
      <c r="D2694">
        <v>0.99199999999999999</v>
      </c>
      <c r="E2694">
        <v>1.1650742180004799E-7</v>
      </c>
      <c r="F2694">
        <v>5</v>
      </c>
      <c r="G2694" t="s">
        <v>854</v>
      </c>
      <c r="H2694" t="s">
        <v>855</v>
      </c>
      <c r="I2694" t="s">
        <v>854</v>
      </c>
      <c r="J2694" s="1" t="str">
        <f>HYPERLINK("https://zfin.org/ZDB-GENE-061201-9")</f>
        <v>https://zfin.org/ZDB-GENE-061201-9</v>
      </c>
      <c r="K2694" t="s">
        <v>856</v>
      </c>
    </row>
    <row r="2695" spans="1:11" x14ac:dyDescent="0.2">
      <c r="A2695">
        <v>8.4374150246645994E-12</v>
      </c>
      <c r="B2695">
        <v>0.71617540085026998</v>
      </c>
      <c r="C2695">
        <v>0.25</v>
      </c>
      <c r="D2695">
        <v>6.5000000000000002E-2</v>
      </c>
      <c r="E2695">
        <v>1.3063649682688201E-7</v>
      </c>
      <c r="F2695">
        <v>5</v>
      </c>
      <c r="G2695" t="s">
        <v>5800</v>
      </c>
      <c r="H2695" t="s">
        <v>5801</v>
      </c>
      <c r="I2695" t="s">
        <v>5802</v>
      </c>
      <c r="J2695" s="1" t="str">
        <f>HYPERLINK("https://zfin.org/ZDB-GENE-060929-1090")</f>
        <v>https://zfin.org/ZDB-GENE-060929-1090</v>
      </c>
      <c r="K2695" t="s">
        <v>5803</v>
      </c>
    </row>
    <row r="2696" spans="1:11" x14ac:dyDescent="0.2">
      <c r="A2696">
        <v>8.8928795088881002E-12</v>
      </c>
      <c r="B2696">
        <v>0.57909140847526197</v>
      </c>
      <c r="C2696">
        <v>0.20799999999999999</v>
      </c>
      <c r="D2696">
        <v>4.5999999999999999E-2</v>
      </c>
      <c r="E2696">
        <v>1.3768845343611401E-7</v>
      </c>
      <c r="F2696">
        <v>5</v>
      </c>
      <c r="G2696" t="s">
        <v>5804</v>
      </c>
      <c r="H2696" t="s">
        <v>5805</v>
      </c>
      <c r="I2696" t="s">
        <v>5804</v>
      </c>
      <c r="J2696" s="1" t="str">
        <f>HYPERLINK("https://zfin.org/ZDB-GENE-040426-2042")</f>
        <v>https://zfin.org/ZDB-GENE-040426-2042</v>
      </c>
      <c r="K2696" t="s">
        <v>5806</v>
      </c>
    </row>
    <row r="2697" spans="1:11" x14ac:dyDescent="0.2">
      <c r="A2697">
        <v>1.27833447817404E-11</v>
      </c>
      <c r="B2697">
        <v>0.58593452947505498</v>
      </c>
      <c r="C2697">
        <v>0.89600000000000002</v>
      </c>
      <c r="D2697">
        <v>0.82599999999999996</v>
      </c>
      <c r="E2697">
        <v>1.9792452725568701E-7</v>
      </c>
      <c r="F2697">
        <v>5</v>
      </c>
      <c r="G2697" t="s">
        <v>2198</v>
      </c>
      <c r="H2697" t="s">
        <v>2199</v>
      </c>
      <c r="I2697" t="s">
        <v>2198</v>
      </c>
      <c r="J2697" s="1" t="str">
        <f>HYPERLINK("https://zfin.org/ZDB-GENE-040426-2740")</f>
        <v>https://zfin.org/ZDB-GENE-040426-2740</v>
      </c>
      <c r="K2697" t="s">
        <v>2200</v>
      </c>
    </row>
    <row r="2698" spans="1:11" x14ac:dyDescent="0.2">
      <c r="A2698">
        <v>2.37379518799333E-11</v>
      </c>
      <c r="B2698">
        <v>0.79840049807249502</v>
      </c>
      <c r="C2698">
        <v>0.61499999999999999</v>
      </c>
      <c r="D2698">
        <v>0.36299999999999999</v>
      </c>
      <c r="E2698">
        <v>3.6753470895700698E-7</v>
      </c>
      <c r="F2698">
        <v>5</v>
      </c>
      <c r="G2698" t="s">
        <v>5807</v>
      </c>
      <c r="H2698" t="s">
        <v>5808</v>
      </c>
      <c r="I2698" t="s">
        <v>5807</v>
      </c>
      <c r="J2698" s="1" t="str">
        <f>HYPERLINK("https://zfin.org/ZDB-GENE-021016-1")</f>
        <v>https://zfin.org/ZDB-GENE-021016-1</v>
      </c>
      <c r="K2698" t="s">
        <v>5809</v>
      </c>
    </row>
    <row r="2699" spans="1:11" x14ac:dyDescent="0.2">
      <c r="A2699">
        <v>4.3205457483142702E-11</v>
      </c>
      <c r="B2699">
        <v>0.78949182224479897</v>
      </c>
      <c r="C2699">
        <v>0.58299999999999996</v>
      </c>
      <c r="D2699">
        <v>0.34699999999999998</v>
      </c>
      <c r="E2699">
        <v>6.6895009821149799E-7</v>
      </c>
      <c r="F2699">
        <v>5</v>
      </c>
      <c r="G2699" t="s">
        <v>3209</v>
      </c>
      <c r="H2699" t="s">
        <v>3210</v>
      </c>
      <c r="I2699" t="s">
        <v>3209</v>
      </c>
      <c r="J2699" s="1" t="str">
        <f>HYPERLINK("https://zfin.org/ZDB-GENE-130625-1")</f>
        <v>https://zfin.org/ZDB-GENE-130625-1</v>
      </c>
      <c r="K2699" t="s">
        <v>3211</v>
      </c>
    </row>
    <row r="2700" spans="1:11" x14ac:dyDescent="0.2">
      <c r="A2700">
        <v>4.4598079202942297E-11</v>
      </c>
      <c r="B2700">
        <v>0.59196980826074896</v>
      </c>
      <c r="C2700">
        <v>0.20799999999999999</v>
      </c>
      <c r="D2700">
        <v>4.9000000000000002E-2</v>
      </c>
      <c r="E2700">
        <v>6.9051206029915596E-7</v>
      </c>
      <c r="F2700">
        <v>5</v>
      </c>
      <c r="G2700" t="s">
        <v>5810</v>
      </c>
      <c r="H2700" t="s">
        <v>5811</v>
      </c>
      <c r="I2700" t="s">
        <v>5810</v>
      </c>
      <c r="J2700" s="1" t="str">
        <f>HYPERLINK("https://zfin.org/ZDB-GENE-060825-309")</f>
        <v>https://zfin.org/ZDB-GENE-060825-309</v>
      </c>
      <c r="K2700" t="s">
        <v>5812</v>
      </c>
    </row>
    <row r="2701" spans="1:11" x14ac:dyDescent="0.2">
      <c r="A2701">
        <v>4.7566185623834497E-11</v>
      </c>
      <c r="B2701">
        <v>0.63811933194148796</v>
      </c>
      <c r="C2701">
        <v>0.20799999999999999</v>
      </c>
      <c r="D2701">
        <v>4.8000000000000001E-2</v>
      </c>
      <c r="E2701">
        <v>7.3646725201382904E-7</v>
      </c>
      <c r="F2701">
        <v>5</v>
      </c>
      <c r="G2701" t="s">
        <v>5813</v>
      </c>
      <c r="H2701" t="s">
        <v>5814</v>
      </c>
      <c r="I2701" t="s">
        <v>5813</v>
      </c>
      <c r="J2701" s="1" t="str">
        <f>HYPERLINK("https://zfin.org/ZDB-GENE-091106-2")</f>
        <v>https://zfin.org/ZDB-GENE-091106-2</v>
      </c>
      <c r="K2701" t="s">
        <v>5815</v>
      </c>
    </row>
    <row r="2702" spans="1:11" x14ac:dyDescent="0.2">
      <c r="A2702">
        <v>4.9142340980868099E-11</v>
      </c>
      <c r="B2702">
        <v>0.86574526478243996</v>
      </c>
      <c r="C2702">
        <v>0.47899999999999998</v>
      </c>
      <c r="D2702">
        <v>0.23200000000000001</v>
      </c>
      <c r="E2702">
        <v>7.6087086540678098E-7</v>
      </c>
      <c r="F2702">
        <v>5</v>
      </c>
      <c r="G2702" t="s">
        <v>5816</v>
      </c>
      <c r="H2702" t="s">
        <v>5817</v>
      </c>
      <c r="I2702" t="s">
        <v>5816</v>
      </c>
      <c r="J2702" s="1" t="str">
        <f>HYPERLINK("https://zfin.org/ZDB-GENE-980526-144")</f>
        <v>https://zfin.org/ZDB-GENE-980526-144</v>
      </c>
      <c r="K2702" t="s">
        <v>5818</v>
      </c>
    </row>
    <row r="2703" spans="1:11" x14ac:dyDescent="0.2">
      <c r="A2703">
        <v>7.3308938325920701E-11</v>
      </c>
      <c r="B2703">
        <v>-1.10672341681159</v>
      </c>
      <c r="C2703">
        <v>0.35399999999999998</v>
      </c>
      <c r="D2703">
        <v>0.65</v>
      </c>
      <c r="E2703">
        <v>1.1350422921002301E-6</v>
      </c>
      <c r="F2703">
        <v>5</v>
      </c>
      <c r="G2703" t="s">
        <v>5510</v>
      </c>
      <c r="H2703" t="s">
        <v>5511</v>
      </c>
      <c r="I2703" t="s">
        <v>5510</v>
      </c>
      <c r="J2703" s="1" t="str">
        <f>HYPERLINK("https://zfin.org/ZDB-GENE-000619-1")</f>
        <v>https://zfin.org/ZDB-GENE-000619-1</v>
      </c>
      <c r="K2703" t="s">
        <v>5512</v>
      </c>
    </row>
    <row r="2704" spans="1:11" x14ac:dyDescent="0.2">
      <c r="A2704">
        <v>7.91911483169862E-11</v>
      </c>
      <c r="B2704">
        <v>0.66062431094111196</v>
      </c>
      <c r="C2704">
        <v>0.47899999999999998</v>
      </c>
      <c r="D2704">
        <v>0.223</v>
      </c>
      <c r="E2704">
        <v>1.2261165493918999E-6</v>
      </c>
      <c r="F2704">
        <v>5</v>
      </c>
      <c r="G2704" t="s">
        <v>5819</v>
      </c>
      <c r="H2704" t="s">
        <v>5820</v>
      </c>
      <c r="I2704" t="s">
        <v>5819</v>
      </c>
      <c r="J2704" s="1" t="str">
        <f>HYPERLINK("https://zfin.org/ZDB-GENE-040426-2830")</f>
        <v>https://zfin.org/ZDB-GENE-040426-2830</v>
      </c>
      <c r="K2704" t="s">
        <v>5821</v>
      </c>
    </row>
    <row r="2705" spans="1:11" x14ac:dyDescent="0.2">
      <c r="A2705">
        <v>1.09239973549073E-10</v>
      </c>
      <c r="B2705">
        <v>0.61489178497655295</v>
      </c>
      <c r="C2705">
        <v>0.92700000000000005</v>
      </c>
      <c r="D2705">
        <v>0.876</v>
      </c>
      <c r="E2705">
        <v>1.69136251046029E-6</v>
      </c>
      <c r="F2705">
        <v>5</v>
      </c>
      <c r="G2705" t="s">
        <v>1231</v>
      </c>
      <c r="H2705" t="s">
        <v>1232</v>
      </c>
      <c r="I2705" t="s">
        <v>1231</v>
      </c>
      <c r="J2705" s="1" t="str">
        <f>HYPERLINK("https://zfin.org/ZDB-GENE-110411-160")</f>
        <v>https://zfin.org/ZDB-GENE-110411-160</v>
      </c>
      <c r="K2705" t="s">
        <v>1233</v>
      </c>
    </row>
    <row r="2706" spans="1:11" x14ac:dyDescent="0.2">
      <c r="A2706">
        <v>1.4808242747051701E-10</v>
      </c>
      <c r="B2706">
        <v>0.45625179818565997</v>
      </c>
      <c r="C2706">
        <v>0.13500000000000001</v>
      </c>
      <c r="D2706">
        <v>2.1999999999999999E-2</v>
      </c>
      <c r="E2706">
        <v>2.2927602245260202E-6</v>
      </c>
      <c r="F2706">
        <v>5</v>
      </c>
      <c r="G2706" t="s">
        <v>5822</v>
      </c>
      <c r="H2706" t="s">
        <v>5823</v>
      </c>
      <c r="I2706" t="s">
        <v>5822</v>
      </c>
      <c r="J2706" s="1" t="str">
        <f>HYPERLINK("https://zfin.org/ZDB-GENE-060616-298")</f>
        <v>https://zfin.org/ZDB-GENE-060616-298</v>
      </c>
      <c r="K2706" t="s">
        <v>5824</v>
      </c>
    </row>
    <row r="2707" spans="1:11" x14ac:dyDescent="0.2">
      <c r="A2707">
        <v>1.5612081114517E-10</v>
      </c>
      <c r="B2707">
        <v>0.90447758553070401</v>
      </c>
      <c r="C2707">
        <v>0.64600000000000002</v>
      </c>
      <c r="D2707">
        <v>0.40100000000000002</v>
      </c>
      <c r="E2707">
        <v>2.41721851896067E-6</v>
      </c>
      <c r="F2707">
        <v>5</v>
      </c>
      <c r="G2707" t="s">
        <v>5825</v>
      </c>
      <c r="H2707" t="s">
        <v>5826</v>
      </c>
      <c r="I2707" t="s">
        <v>5825</v>
      </c>
      <c r="J2707" s="1" t="str">
        <f>HYPERLINK("https://zfin.org/ZDB-GENE-040718-197")</f>
        <v>https://zfin.org/ZDB-GENE-040718-197</v>
      </c>
      <c r="K2707" t="s">
        <v>5827</v>
      </c>
    </row>
    <row r="2708" spans="1:11" x14ac:dyDescent="0.2">
      <c r="A2708">
        <v>1.68967287123467E-10</v>
      </c>
      <c r="B2708">
        <v>0.48459966905601298</v>
      </c>
      <c r="C2708">
        <v>0.28100000000000003</v>
      </c>
      <c r="D2708">
        <v>8.5999999999999993E-2</v>
      </c>
      <c r="E2708">
        <v>2.6161205065326502E-6</v>
      </c>
      <c r="F2708">
        <v>5</v>
      </c>
      <c r="G2708" t="s">
        <v>5828</v>
      </c>
      <c r="H2708" t="s">
        <v>5829</v>
      </c>
      <c r="I2708" t="s">
        <v>5828</v>
      </c>
      <c r="J2708" s="1" t="str">
        <f>HYPERLINK("https://zfin.org/ZDB-GENE-030311-1")</f>
        <v>https://zfin.org/ZDB-GENE-030311-1</v>
      </c>
      <c r="K2708" t="s">
        <v>5830</v>
      </c>
    </row>
    <row r="2709" spans="1:11" x14ac:dyDescent="0.2">
      <c r="A2709">
        <v>1.78917420907315E-10</v>
      </c>
      <c r="B2709">
        <v>0.7281742425312</v>
      </c>
      <c r="C2709">
        <v>0.57299999999999995</v>
      </c>
      <c r="D2709">
        <v>0.32100000000000001</v>
      </c>
      <c r="E2709">
        <v>2.77017842790796E-6</v>
      </c>
      <c r="F2709">
        <v>5</v>
      </c>
      <c r="G2709" t="s">
        <v>5831</v>
      </c>
      <c r="H2709" t="s">
        <v>5832</v>
      </c>
      <c r="I2709" t="s">
        <v>5831</v>
      </c>
      <c r="J2709" s="1" t="str">
        <f>HYPERLINK("https://zfin.org/ZDB-GENE-030131-8719")</f>
        <v>https://zfin.org/ZDB-GENE-030131-8719</v>
      </c>
      <c r="K2709" t="s">
        <v>5833</v>
      </c>
    </row>
    <row r="2710" spans="1:11" x14ac:dyDescent="0.2">
      <c r="A2710">
        <v>2.14083660554456E-10</v>
      </c>
      <c r="B2710">
        <v>0.533691484804936</v>
      </c>
      <c r="C2710">
        <v>0.156</v>
      </c>
      <c r="D2710">
        <v>0.03</v>
      </c>
      <c r="E2710">
        <v>3.31465731636464E-6</v>
      </c>
      <c r="F2710">
        <v>5</v>
      </c>
      <c r="G2710" t="s">
        <v>5834</v>
      </c>
      <c r="H2710" t="s">
        <v>5835</v>
      </c>
      <c r="I2710" t="s">
        <v>5834</v>
      </c>
      <c r="J2710" s="1" t="str">
        <f>HYPERLINK("https://zfin.org/ZDB-GENE-030131-4483")</f>
        <v>https://zfin.org/ZDB-GENE-030131-4483</v>
      </c>
      <c r="K2710" t="s">
        <v>5836</v>
      </c>
    </row>
    <row r="2711" spans="1:11" x14ac:dyDescent="0.2">
      <c r="A2711">
        <v>3.4826820786335899E-10</v>
      </c>
      <c r="B2711">
        <v>-1.17806384723114</v>
      </c>
      <c r="C2711">
        <v>6.2E-2</v>
      </c>
      <c r="D2711">
        <v>0.38200000000000001</v>
      </c>
      <c r="E2711">
        <v>5.3922366623483796E-6</v>
      </c>
      <c r="F2711">
        <v>5</v>
      </c>
      <c r="G2711" t="s">
        <v>5603</v>
      </c>
      <c r="H2711" t="s">
        <v>5604</v>
      </c>
      <c r="I2711" t="s">
        <v>5603</v>
      </c>
      <c r="J2711" s="1" t="str">
        <f>HYPERLINK("https://zfin.org/ZDB-GENE-980605-16")</f>
        <v>https://zfin.org/ZDB-GENE-980605-16</v>
      </c>
      <c r="K2711" t="s">
        <v>5605</v>
      </c>
    </row>
    <row r="2712" spans="1:11" x14ac:dyDescent="0.2">
      <c r="A2712">
        <v>3.5223208964480899E-10</v>
      </c>
      <c r="B2712">
        <v>0.54438017955555795</v>
      </c>
      <c r="C2712">
        <v>0.16700000000000001</v>
      </c>
      <c r="D2712">
        <v>3.4000000000000002E-2</v>
      </c>
      <c r="E2712">
        <v>5.4536094439705797E-6</v>
      </c>
      <c r="F2712">
        <v>5</v>
      </c>
      <c r="G2712" t="s">
        <v>5837</v>
      </c>
      <c r="H2712" t="s">
        <v>5838</v>
      </c>
      <c r="I2712" t="s">
        <v>5837</v>
      </c>
      <c r="J2712" s="1" t="str">
        <f>HYPERLINK("https://zfin.org/ZDB-GENE-080425-5")</f>
        <v>https://zfin.org/ZDB-GENE-080425-5</v>
      </c>
      <c r="K2712" t="s">
        <v>5839</v>
      </c>
    </row>
    <row r="2713" spans="1:11" x14ac:dyDescent="0.2">
      <c r="A2713">
        <v>3.8328682513112301E-10</v>
      </c>
      <c r="B2713">
        <v>0.68694803688706496</v>
      </c>
      <c r="C2713">
        <v>0.625</v>
      </c>
      <c r="D2713">
        <v>0.41099999999999998</v>
      </c>
      <c r="E2713">
        <v>5.9344299135051796E-6</v>
      </c>
      <c r="F2713">
        <v>5</v>
      </c>
      <c r="G2713" t="s">
        <v>5840</v>
      </c>
      <c r="H2713" t="s">
        <v>5841</v>
      </c>
      <c r="I2713" t="s">
        <v>5840</v>
      </c>
      <c r="J2713" s="1" t="str">
        <f>HYPERLINK("https://zfin.org/ZDB-GENE-030131-9661")</f>
        <v>https://zfin.org/ZDB-GENE-030131-9661</v>
      </c>
      <c r="K2713" t="s">
        <v>5842</v>
      </c>
    </row>
    <row r="2714" spans="1:11" x14ac:dyDescent="0.2">
      <c r="A2714">
        <v>4.3159568589910702E-10</v>
      </c>
      <c r="B2714">
        <v>0.65301146312740799</v>
      </c>
      <c r="C2714">
        <v>0.32300000000000001</v>
      </c>
      <c r="D2714">
        <v>0.11700000000000001</v>
      </c>
      <c r="E2714">
        <v>6.6823960047758797E-6</v>
      </c>
      <c r="F2714">
        <v>5</v>
      </c>
      <c r="G2714" t="s">
        <v>5843</v>
      </c>
      <c r="H2714" t="s">
        <v>5844</v>
      </c>
      <c r="I2714" t="s">
        <v>5843</v>
      </c>
      <c r="J2714" s="1" t="str">
        <f>HYPERLINK("https://zfin.org/ZDB-GENE-040426-1651")</f>
        <v>https://zfin.org/ZDB-GENE-040426-1651</v>
      </c>
      <c r="K2714" t="s">
        <v>5845</v>
      </c>
    </row>
    <row r="2715" spans="1:11" x14ac:dyDescent="0.2">
      <c r="A2715">
        <v>4.4359578917624899E-10</v>
      </c>
      <c r="B2715">
        <v>-1.1796658151067301</v>
      </c>
      <c r="C2715">
        <v>0.14599999999999999</v>
      </c>
      <c r="D2715">
        <v>0.47399999999999998</v>
      </c>
      <c r="E2715">
        <v>6.8681936038158599E-6</v>
      </c>
      <c r="F2715">
        <v>5</v>
      </c>
      <c r="G2715" t="s">
        <v>3326</v>
      </c>
      <c r="H2715" t="s">
        <v>3327</v>
      </c>
      <c r="I2715" t="s">
        <v>3326</v>
      </c>
      <c r="J2715" s="1" t="str">
        <f>HYPERLINK("https://zfin.org/ZDB-GENE-080829-12")</f>
        <v>https://zfin.org/ZDB-GENE-080829-12</v>
      </c>
      <c r="K2715" t="s">
        <v>3328</v>
      </c>
    </row>
    <row r="2716" spans="1:11" x14ac:dyDescent="0.2">
      <c r="A2716">
        <v>4.4942748297973598E-10</v>
      </c>
      <c r="B2716">
        <v>-0.97355164113841697</v>
      </c>
      <c r="C2716">
        <v>2.1000000000000001E-2</v>
      </c>
      <c r="D2716">
        <v>0.32800000000000001</v>
      </c>
      <c r="E2716">
        <v>6.9584857189752598E-6</v>
      </c>
      <c r="F2716">
        <v>5</v>
      </c>
      <c r="G2716" t="s">
        <v>5846</v>
      </c>
      <c r="H2716" t="s">
        <v>5847</v>
      </c>
      <c r="I2716" t="s">
        <v>5846</v>
      </c>
      <c r="J2716" s="1" t="str">
        <f>HYPERLINK("https://zfin.org/ZDB-GENE-001212-5")</f>
        <v>https://zfin.org/ZDB-GENE-001212-5</v>
      </c>
      <c r="K2716" t="s">
        <v>5848</v>
      </c>
    </row>
    <row r="2717" spans="1:11" x14ac:dyDescent="0.2">
      <c r="A2717">
        <v>6.3607281965954798E-10</v>
      </c>
      <c r="B2717">
        <v>0.79213438656017499</v>
      </c>
      <c r="C2717">
        <v>0.22900000000000001</v>
      </c>
      <c r="D2717">
        <v>6.5000000000000002E-2</v>
      </c>
      <c r="E2717">
        <v>9.8483154667887895E-6</v>
      </c>
      <c r="F2717">
        <v>5</v>
      </c>
      <c r="G2717" t="s">
        <v>5849</v>
      </c>
      <c r="H2717" t="s">
        <v>5850</v>
      </c>
      <c r="I2717" t="s">
        <v>5849</v>
      </c>
      <c r="J2717" s="1" t="str">
        <f>HYPERLINK("https://zfin.org/ZDB-GENE-000210-21")</f>
        <v>https://zfin.org/ZDB-GENE-000210-21</v>
      </c>
      <c r="K2717" t="s">
        <v>5851</v>
      </c>
    </row>
    <row r="2718" spans="1:11" x14ac:dyDescent="0.2">
      <c r="A2718">
        <v>6.84469222791962E-10</v>
      </c>
      <c r="B2718">
        <v>0.55196658492424699</v>
      </c>
      <c r="C2718">
        <v>0.156</v>
      </c>
      <c r="D2718">
        <v>3.2000000000000001E-2</v>
      </c>
      <c r="E2718">
        <v>1.05976369764879E-5</v>
      </c>
      <c r="F2718">
        <v>5</v>
      </c>
      <c r="G2718" t="s">
        <v>5852</v>
      </c>
      <c r="H2718" t="s">
        <v>5853</v>
      </c>
      <c r="I2718" t="s">
        <v>5852</v>
      </c>
      <c r="J2718" s="1" t="str">
        <f>HYPERLINK("https://zfin.org/ZDB-GENE-130530-563")</f>
        <v>https://zfin.org/ZDB-GENE-130530-563</v>
      </c>
      <c r="K2718" t="s">
        <v>5854</v>
      </c>
    </row>
    <row r="2719" spans="1:11" x14ac:dyDescent="0.2">
      <c r="A2719">
        <v>7.1657259820360498E-10</v>
      </c>
      <c r="B2719">
        <v>0.50084666967311298</v>
      </c>
      <c r="C2719">
        <v>0.92700000000000005</v>
      </c>
      <c r="D2719">
        <v>0.86699999999999999</v>
      </c>
      <c r="E2719">
        <v>1.10946935379864E-5</v>
      </c>
      <c r="F2719">
        <v>5</v>
      </c>
      <c r="G2719" t="s">
        <v>1450</v>
      </c>
      <c r="H2719" t="s">
        <v>1451</v>
      </c>
      <c r="I2719" t="s">
        <v>1450</v>
      </c>
      <c r="J2719" s="1" t="str">
        <f>HYPERLINK("https://zfin.org/ZDB-GENE-060503-431")</f>
        <v>https://zfin.org/ZDB-GENE-060503-431</v>
      </c>
      <c r="K2719" t="s">
        <v>1452</v>
      </c>
    </row>
    <row r="2720" spans="1:11" x14ac:dyDescent="0.2">
      <c r="A2720">
        <v>7.6210338283025704E-10</v>
      </c>
      <c r="B2720">
        <v>0.79232368443644197</v>
      </c>
      <c r="C2720">
        <v>0.61499999999999999</v>
      </c>
      <c r="D2720">
        <v>0.38</v>
      </c>
      <c r="E2720">
        <v>1.17996466763609E-5</v>
      </c>
      <c r="F2720">
        <v>5</v>
      </c>
      <c r="G2720" t="s">
        <v>5855</v>
      </c>
      <c r="H2720" t="s">
        <v>5856</v>
      </c>
      <c r="I2720" t="s">
        <v>5855</v>
      </c>
      <c r="J2720" s="1" t="str">
        <f>HYPERLINK("https://zfin.org/ZDB-GENE-030131-261")</f>
        <v>https://zfin.org/ZDB-GENE-030131-261</v>
      </c>
      <c r="K2720" t="s">
        <v>5857</v>
      </c>
    </row>
    <row r="2721" spans="1:11" x14ac:dyDescent="0.2">
      <c r="A2721">
        <v>1.0545892081736499E-9</v>
      </c>
      <c r="B2721">
        <v>-0.75568140143708495</v>
      </c>
      <c r="C2721">
        <v>3.1E-2</v>
      </c>
      <c r="D2721">
        <v>0.34100000000000003</v>
      </c>
      <c r="E2721">
        <v>1.6328204710152601E-5</v>
      </c>
      <c r="F2721">
        <v>5</v>
      </c>
      <c r="G2721" t="s">
        <v>5858</v>
      </c>
      <c r="H2721" t="s">
        <v>5859</v>
      </c>
      <c r="I2721" t="s">
        <v>5858</v>
      </c>
      <c r="J2721" s="1" t="str">
        <f>HYPERLINK("https://zfin.org/ZDB-GENE-031118-20")</f>
        <v>https://zfin.org/ZDB-GENE-031118-20</v>
      </c>
      <c r="K2721" t="s">
        <v>5860</v>
      </c>
    </row>
    <row r="2722" spans="1:11" x14ac:dyDescent="0.2">
      <c r="A2722">
        <v>1.0862390854316201E-9</v>
      </c>
      <c r="B2722">
        <v>-0.670561545823956</v>
      </c>
      <c r="C2722">
        <v>0.80200000000000005</v>
      </c>
      <c r="D2722">
        <v>0.88</v>
      </c>
      <c r="E2722">
        <v>1.6818239759737801E-5</v>
      </c>
      <c r="F2722">
        <v>5</v>
      </c>
      <c r="G2722" t="s">
        <v>1363</v>
      </c>
      <c r="H2722" t="s">
        <v>1364</v>
      </c>
      <c r="I2722" t="s">
        <v>1363</v>
      </c>
      <c r="J2722" s="1" t="str">
        <f>HYPERLINK("https://zfin.org/ZDB-GENE-031002-9")</f>
        <v>https://zfin.org/ZDB-GENE-031002-9</v>
      </c>
      <c r="K2722" t="s">
        <v>1365</v>
      </c>
    </row>
    <row r="2723" spans="1:11" x14ac:dyDescent="0.2">
      <c r="A2723">
        <v>1.16771250151052E-9</v>
      </c>
      <c r="B2723">
        <v>0.52126732036856105</v>
      </c>
      <c r="C2723">
        <v>0.96899999999999997</v>
      </c>
      <c r="D2723">
        <v>0.88900000000000001</v>
      </c>
      <c r="E2723">
        <v>1.8079692660887402E-5</v>
      </c>
      <c r="F2723">
        <v>5</v>
      </c>
      <c r="G2723" t="s">
        <v>1237</v>
      </c>
      <c r="H2723" t="s">
        <v>1238</v>
      </c>
      <c r="I2723" t="s">
        <v>1237</v>
      </c>
      <c r="J2723" s="1" t="str">
        <f>HYPERLINK("https://zfin.org/ZDB-GENE-030131-3532")</f>
        <v>https://zfin.org/ZDB-GENE-030131-3532</v>
      </c>
      <c r="K2723" t="s">
        <v>1239</v>
      </c>
    </row>
    <row r="2724" spans="1:11" x14ac:dyDescent="0.2">
      <c r="A2724">
        <v>1.3519483718578101E-9</v>
      </c>
      <c r="B2724">
        <v>-1.5079151034542699</v>
      </c>
      <c r="C2724">
        <v>0.219</v>
      </c>
      <c r="D2724">
        <v>0.53100000000000003</v>
      </c>
      <c r="E2724">
        <v>2.09322166414745E-5</v>
      </c>
      <c r="F2724">
        <v>5</v>
      </c>
      <c r="G2724" t="s">
        <v>1240</v>
      </c>
      <c r="H2724" t="s">
        <v>1241</v>
      </c>
      <c r="I2724" t="s">
        <v>1240</v>
      </c>
      <c r="J2724" s="1" t="str">
        <f>HYPERLINK("https://zfin.org/ZDB-GENE-060929-568")</f>
        <v>https://zfin.org/ZDB-GENE-060929-568</v>
      </c>
      <c r="K2724" t="s">
        <v>1242</v>
      </c>
    </row>
    <row r="2725" spans="1:11" x14ac:dyDescent="0.2">
      <c r="A2725">
        <v>1.46680812271024E-9</v>
      </c>
      <c r="B2725">
        <v>-0.46053522497168098</v>
      </c>
      <c r="C2725">
        <v>0.92700000000000005</v>
      </c>
      <c r="D2725">
        <v>0.97099999999999997</v>
      </c>
      <c r="E2725">
        <v>2.27105901639227E-5</v>
      </c>
      <c r="F2725">
        <v>5</v>
      </c>
      <c r="G2725" t="s">
        <v>1071</v>
      </c>
      <c r="H2725" t="s">
        <v>1072</v>
      </c>
      <c r="I2725" t="s">
        <v>1071</v>
      </c>
      <c r="J2725" s="1" t="str">
        <f>HYPERLINK("https://zfin.org/ZDB-GENE-070327-2")</f>
        <v>https://zfin.org/ZDB-GENE-070327-2</v>
      </c>
      <c r="K2725" t="s">
        <v>1073</v>
      </c>
    </row>
    <row r="2726" spans="1:11" x14ac:dyDescent="0.2">
      <c r="A2726">
        <v>2.3391553376175701E-9</v>
      </c>
      <c r="B2726">
        <v>0.595500350589653</v>
      </c>
      <c r="C2726">
        <v>0.24</v>
      </c>
      <c r="D2726">
        <v>7.1999999999999995E-2</v>
      </c>
      <c r="E2726">
        <v>3.6217142092332803E-5</v>
      </c>
      <c r="F2726">
        <v>5</v>
      </c>
      <c r="G2726" t="s">
        <v>5861</v>
      </c>
      <c r="H2726" t="s">
        <v>5862</v>
      </c>
      <c r="I2726" t="s">
        <v>5861</v>
      </c>
      <c r="J2726" s="1" t="str">
        <f>HYPERLINK("https://zfin.org/ZDB-GENE-050417-293")</f>
        <v>https://zfin.org/ZDB-GENE-050417-293</v>
      </c>
      <c r="K2726" t="s">
        <v>5863</v>
      </c>
    </row>
    <row r="2727" spans="1:11" x14ac:dyDescent="0.2">
      <c r="A2727">
        <v>2.4625850021680101E-9</v>
      </c>
      <c r="B2727">
        <v>0.46214049894864401</v>
      </c>
      <c r="C2727">
        <v>0.16700000000000001</v>
      </c>
      <c r="D2727">
        <v>3.6999999999999998E-2</v>
      </c>
      <c r="E2727">
        <v>3.8128203588567301E-5</v>
      </c>
      <c r="F2727">
        <v>5</v>
      </c>
      <c r="G2727" t="s">
        <v>5864</v>
      </c>
      <c r="H2727" t="s">
        <v>5865</v>
      </c>
      <c r="I2727" t="s">
        <v>5864</v>
      </c>
      <c r="J2727" s="1" t="str">
        <f>HYPERLINK("https://zfin.org/ZDB-GENE-050626-55")</f>
        <v>https://zfin.org/ZDB-GENE-050626-55</v>
      </c>
      <c r="K2727" t="s">
        <v>5866</v>
      </c>
    </row>
    <row r="2728" spans="1:11" x14ac:dyDescent="0.2">
      <c r="A2728">
        <v>2.70555053301273E-9</v>
      </c>
      <c r="B2728">
        <v>-1.10614511007157</v>
      </c>
      <c r="C2728">
        <v>2.1000000000000001E-2</v>
      </c>
      <c r="D2728">
        <v>0.308</v>
      </c>
      <c r="E2728">
        <v>4.1890038902636003E-5</v>
      </c>
      <c r="F2728">
        <v>5</v>
      </c>
      <c r="G2728" t="s">
        <v>5867</v>
      </c>
      <c r="H2728" t="s">
        <v>5868</v>
      </c>
      <c r="I2728" t="s">
        <v>5867</v>
      </c>
      <c r="J2728" s="1" t="str">
        <f>HYPERLINK("https://zfin.org/")</f>
        <v>https://zfin.org/</v>
      </c>
    </row>
    <row r="2729" spans="1:11" x14ac:dyDescent="0.2">
      <c r="A2729">
        <v>2.9495034511837501E-9</v>
      </c>
      <c r="B2729">
        <v>0.61605787595216399</v>
      </c>
      <c r="C2729">
        <v>0.16700000000000001</v>
      </c>
      <c r="D2729">
        <v>3.7999999999999999E-2</v>
      </c>
      <c r="E2729">
        <v>4.5667161934678003E-5</v>
      </c>
      <c r="F2729">
        <v>5</v>
      </c>
      <c r="G2729" t="s">
        <v>5869</v>
      </c>
      <c r="H2729" t="s">
        <v>5870</v>
      </c>
      <c r="I2729" t="s">
        <v>5869</v>
      </c>
      <c r="J2729" s="1" t="str">
        <f>HYPERLINK("https://zfin.org/ZDB-GENE-000920-1")</f>
        <v>https://zfin.org/ZDB-GENE-000920-1</v>
      </c>
      <c r="K2729" t="s">
        <v>5871</v>
      </c>
    </row>
    <row r="2730" spans="1:11" x14ac:dyDescent="0.2">
      <c r="A2730">
        <v>2.9981203062421999E-9</v>
      </c>
      <c r="B2730">
        <v>0.41617062482454797</v>
      </c>
      <c r="C2730">
        <v>0.156</v>
      </c>
      <c r="D2730">
        <v>3.4000000000000002E-2</v>
      </c>
      <c r="E2730">
        <v>4.6419896701548E-5</v>
      </c>
      <c r="F2730">
        <v>5</v>
      </c>
      <c r="G2730" t="s">
        <v>5872</v>
      </c>
      <c r="H2730" t="s">
        <v>5873</v>
      </c>
      <c r="I2730" t="s">
        <v>5872</v>
      </c>
      <c r="J2730" s="1" t="str">
        <f>HYPERLINK("https://zfin.org/ZDB-GENE-050419-127")</f>
        <v>https://zfin.org/ZDB-GENE-050419-127</v>
      </c>
      <c r="K2730" t="s">
        <v>5874</v>
      </c>
    </row>
    <row r="2731" spans="1:11" x14ac:dyDescent="0.2">
      <c r="A2731">
        <v>4.2320361852084798E-9</v>
      </c>
      <c r="B2731">
        <v>0.87519852301728596</v>
      </c>
      <c r="C2731">
        <v>0.40600000000000003</v>
      </c>
      <c r="D2731">
        <v>0.186</v>
      </c>
      <c r="E2731">
        <v>6.5524616255582905E-5</v>
      </c>
      <c r="F2731">
        <v>5</v>
      </c>
      <c r="G2731" t="s">
        <v>5407</v>
      </c>
      <c r="H2731" t="s">
        <v>5408</v>
      </c>
      <c r="I2731" t="s">
        <v>5407</v>
      </c>
      <c r="J2731" s="1" t="str">
        <f>HYPERLINK("https://zfin.org/ZDB-GENE-030131-5783")</f>
        <v>https://zfin.org/ZDB-GENE-030131-5783</v>
      </c>
      <c r="K2731" t="s">
        <v>5409</v>
      </c>
    </row>
    <row r="2732" spans="1:11" x14ac:dyDescent="0.2">
      <c r="A2732">
        <v>4.6858160468731504E-9</v>
      </c>
      <c r="B2732">
        <v>0.31577745899049497</v>
      </c>
      <c r="C2732">
        <v>0.115</v>
      </c>
      <c r="D2732">
        <v>1.9E-2</v>
      </c>
      <c r="E2732">
        <v>7.2550489853736894E-5</v>
      </c>
      <c r="F2732">
        <v>5</v>
      </c>
      <c r="G2732" t="s">
        <v>5875</v>
      </c>
      <c r="H2732" t="s">
        <v>5876</v>
      </c>
      <c r="I2732" t="s">
        <v>5875</v>
      </c>
      <c r="J2732" s="1" t="str">
        <f>HYPERLINK("https://zfin.org/ZDB-GENE-040426-2889")</f>
        <v>https://zfin.org/ZDB-GENE-040426-2889</v>
      </c>
      <c r="K2732" t="s">
        <v>5877</v>
      </c>
    </row>
    <row r="2733" spans="1:11" x14ac:dyDescent="0.2">
      <c r="A2733">
        <v>1.91648437523154E-38</v>
      </c>
      <c r="B2733">
        <v>1.42838690671852</v>
      </c>
      <c r="C2733">
        <v>0.93</v>
      </c>
      <c r="D2733">
        <v>0.41799999999999998</v>
      </c>
      <c r="E2733">
        <v>2.9672927581709902E-34</v>
      </c>
      <c r="F2733">
        <v>6</v>
      </c>
      <c r="G2733" t="s">
        <v>3299</v>
      </c>
      <c r="H2733" t="s">
        <v>3300</v>
      </c>
      <c r="I2733" t="s">
        <v>3299</v>
      </c>
      <c r="J2733" s="1" t="str">
        <f>HYPERLINK("https://zfin.org/ZDB-GENE-011212-6")</f>
        <v>https://zfin.org/ZDB-GENE-011212-6</v>
      </c>
      <c r="K2733" t="s">
        <v>3301</v>
      </c>
    </row>
    <row r="2734" spans="1:11" x14ac:dyDescent="0.2">
      <c r="A2734">
        <v>7.4368612541040302E-37</v>
      </c>
      <c r="B2734">
        <v>1.5376892669889399</v>
      </c>
      <c r="C2734">
        <v>0.97699999999999998</v>
      </c>
      <c r="D2734">
        <v>0.81100000000000005</v>
      </c>
      <c r="E2734">
        <v>1.1514492279729299E-32</v>
      </c>
      <c r="F2734">
        <v>6</v>
      </c>
      <c r="G2734" t="s">
        <v>2727</v>
      </c>
      <c r="H2734" t="s">
        <v>2728</v>
      </c>
      <c r="I2734" t="s">
        <v>2727</v>
      </c>
      <c r="J2734" s="1" t="str">
        <f>HYPERLINK("https://zfin.org/")</f>
        <v>https://zfin.org/</v>
      </c>
      <c r="K2734" t="s">
        <v>2729</v>
      </c>
    </row>
    <row r="2735" spans="1:11" x14ac:dyDescent="0.2">
      <c r="A2735">
        <v>3.6012189427656499E-30</v>
      </c>
      <c r="B2735">
        <v>0.80192685310612799</v>
      </c>
      <c r="C2735">
        <v>1</v>
      </c>
      <c r="D2735">
        <v>1</v>
      </c>
      <c r="E2735">
        <v>5.5757672890840597E-26</v>
      </c>
      <c r="F2735">
        <v>6</v>
      </c>
      <c r="G2735" t="s">
        <v>1015</v>
      </c>
      <c r="H2735" t="s">
        <v>1016</v>
      </c>
      <c r="I2735" t="s">
        <v>1015</v>
      </c>
      <c r="J2735" s="1" t="str">
        <f>HYPERLINK("https://zfin.org/ZDB-GENE-141216-248")</f>
        <v>https://zfin.org/ZDB-GENE-141216-248</v>
      </c>
      <c r="K2735" t="s">
        <v>1017</v>
      </c>
    </row>
    <row r="2736" spans="1:11" x14ac:dyDescent="0.2">
      <c r="A2736">
        <v>2.7128839489551099E-22</v>
      </c>
      <c r="B2736">
        <v>1.0040653079687301</v>
      </c>
      <c r="C2736">
        <v>0.54700000000000004</v>
      </c>
      <c r="D2736">
        <v>0.153</v>
      </c>
      <c r="E2736">
        <v>4.2003582181672002E-18</v>
      </c>
      <c r="F2736">
        <v>6</v>
      </c>
      <c r="G2736" t="s">
        <v>5647</v>
      </c>
      <c r="H2736" t="s">
        <v>5648</v>
      </c>
      <c r="I2736" t="s">
        <v>5647</v>
      </c>
      <c r="J2736" s="1" t="str">
        <f>HYPERLINK("https://zfin.org/ZDB-GENE-070502-5")</f>
        <v>https://zfin.org/ZDB-GENE-070502-5</v>
      </c>
      <c r="K2736" t="s">
        <v>5649</v>
      </c>
    </row>
    <row r="2737" spans="1:11" x14ac:dyDescent="0.2">
      <c r="A2737">
        <v>5.3861918374733497E-21</v>
      </c>
      <c r="B2737">
        <v>-1.54298737619938</v>
      </c>
      <c r="C2737">
        <v>0.68600000000000005</v>
      </c>
      <c r="D2737">
        <v>0.93899999999999995</v>
      </c>
      <c r="E2737">
        <v>8.3394408219599798E-17</v>
      </c>
      <c r="F2737">
        <v>6</v>
      </c>
      <c r="G2737" t="s">
        <v>1447</v>
      </c>
      <c r="H2737" t="s">
        <v>1448</v>
      </c>
      <c r="I2737" t="s">
        <v>1447</v>
      </c>
      <c r="J2737" s="1" t="str">
        <f>HYPERLINK("https://zfin.org/ZDB-GENE-040426-1508")</f>
        <v>https://zfin.org/ZDB-GENE-040426-1508</v>
      </c>
      <c r="K2737" t="s">
        <v>1449</v>
      </c>
    </row>
    <row r="2738" spans="1:11" x14ac:dyDescent="0.2">
      <c r="A2738">
        <v>6.9523303495700702E-21</v>
      </c>
      <c r="B2738">
        <v>1.0301073701916501</v>
      </c>
      <c r="C2738">
        <v>0.38400000000000001</v>
      </c>
      <c r="D2738">
        <v>8.4000000000000005E-2</v>
      </c>
      <c r="E2738">
        <v>1.07642930802393E-16</v>
      </c>
      <c r="F2738">
        <v>6</v>
      </c>
      <c r="G2738" t="s">
        <v>5665</v>
      </c>
      <c r="H2738" t="s">
        <v>5666</v>
      </c>
      <c r="I2738" t="s">
        <v>5665</v>
      </c>
      <c r="J2738" s="1" t="str">
        <f>HYPERLINK("https://zfin.org/ZDB-GENE-081104-326")</f>
        <v>https://zfin.org/ZDB-GENE-081104-326</v>
      </c>
      <c r="K2738" t="s">
        <v>5667</v>
      </c>
    </row>
    <row r="2739" spans="1:11" x14ac:dyDescent="0.2">
      <c r="A2739">
        <v>3.3330603740860201E-20</v>
      </c>
      <c r="B2739">
        <v>0.80470616683683605</v>
      </c>
      <c r="C2739">
        <v>0.20899999999999999</v>
      </c>
      <c r="D2739">
        <v>2.4E-2</v>
      </c>
      <c r="E2739">
        <v>5.1605773771973796E-16</v>
      </c>
      <c r="F2739">
        <v>6</v>
      </c>
      <c r="G2739" t="s">
        <v>5737</v>
      </c>
      <c r="H2739" t="s">
        <v>5738</v>
      </c>
      <c r="I2739" t="s">
        <v>5737</v>
      </c>
      <c r="J2739" s="1" t="str">
        <f>HYPERLINK("https://zfin.org/ZDB-GENE-030131-9242")</f>
        <v>https://zfin.org/ZDB-GENE-030131-9242</v>
      </c>
      <c r="K2739" t="s">
        <v>5739</v>
      </c>
    </row>
    <row r="2740" spans="1:11" x14ac:dyDescent="0.2">
      <c r="A2740">
        <v>1.51833425464814E-19</v>
      </c>
      <c r="B2740">
        <v>-2.1920667565648602</v>
      </c>
      <c r="C2740">
        <v>0.24399999999999999</v>
      </c>
      <c r="D2740">
        <v>0.73699999999999999</v>
      </c>
      <c r="E2740">
        <v>2.3508369264717099E-15</v>
      </c>
      <c r="F2740">
        <v>6</v>
      </c>
      <c r="G2740" t="s">
        <v>2428</v>
      </c>
      <c r="H2740" t="s">
        <v>2429</v>
      </c>
      <c r="I2740" t="s">
        <v>2428</v>
      </c>
      <c r="J2740" s="1" t="str">
        <f>HYPERLINK("https://zfin.org/ZDB-GENE-111109-2")</f>
        <v>https://zfin.org/ZDB-GENE-111109-2</v>
      </c>
      <c r="K2740" t="s">
        <v>2430</v>
      </c>
    </row>
    <row r="2741" spans="1:11" x14ac:dyDescent="0.2">
      <c r="A2741">
        <v>3.0774516260379699E-18</v>
      </c>
      <c r="B2741">
        <v>1.3922952248844001</v>
      </c>
      <c r="C2741">
        <v>0.43</v>
      </c>
      <c r="D2741">
        <v>0.12</v>
      </c>
      <c r="E2741">
        <v>4.76481835259459E-14</v>
      </c>
      <c r="F2741">
        <v>6</v>
      </c>
      <c r="G2741" t="s">
        <v>5662</v>
      </c>
      <c r="H2741" t="s">
        <v>5663</v>
      </c>
      <c r="I2741" t="s">
        <v>5662</v>
      </c>
      <c r="J2741" s="1" t="str">
        <f>HYPERLINK("https://zfin.org/ZDB-GENE-041111-1")</f>
        <v>https://zfin.org/ZDB-GENE-041111-1</v>
      </c>
      <c r="K2741" t="s">
        <v>5664</v>
      </c>
    </row>
    <row r="2742" spans="1:11" x14ac:dyDescent="0.2">
      <c r="A2742">
        <v>4.8396960129142203E-16</v>
      </c>
      <c r="B2742">
        <v>1.2248995375276599</v>
      </c>
      <c r="C2742">
        <v>0.36</v>
      </c>
      <c r="D2742">
        <v>9.5000000000000001E-2</v>
      </c>
      <c r="E2742">
        <v>7.4933013367950801E-12</v>
      </c>
      <c r="F2742">
        <v>6</v>
      </c>
      <c r="G2742" t="s">
        <v>5680</v>
      </c>
      <c r="H2742" t="s">
        <v>5681</v>
      </c>
      <c r="I2742" t="s">
        <v>5680</v>
      </c>
      <c r="J2742" s="1" t="str">
        <f>HYPERLINK("https://zfin.org/ZDB-GENE-081104-210")</f>
        <v>https://zfin.org/ZDB-GENE-081104-210</v>
      </c>
      <c r="K2742" t="s">
        <v>5682</v>
      </c>
    </row>
    <row r="2743" spans="1:11" x14ac:dyDescent="0.2">
      <c r="A2743">
        <v>1.2843570629900601E-15</v>
      </c>
      <c r="B2743">
        <v>-1.5528883079442699</v>
      </c>
      <c r="C2743">
        <v>0.34899999999999998</v>
      </c>
      <c r="D2743">
        <v>0.80300000000000005</v>
      </c>
      <c r="E2743">
        <v>1.98857004062752E-11</v>
      </c>
      <c r="F2743">
        <v>6</v>
      </c>
      <c r="G2743" t="s">
        <v>2606</v>
      </c>
      <c r="H2743" t="s">
        <v>2607</v>
      </c>
      <c r="I2743" t="s">
        <v>2606</v>
      </c>
      <c r="J2743" s="1" t="str">
        <f>HYPERLINK("https://zfin.org/ZDB-GENE-121214-200")</f>
        <v>https://zfin.org/ZDB-GENE-121214-200</v>
      </c>
      <c r="K2743" t="s">
        <v>2608</v>
      </c>
    </row>
    <row r="2744" spans="1:11" x14ac:dyDescent="0.2">
      <c r="A2744">
        <v>9.8140608177847293E-15</v>
      </c>
      <c r="B2744">
        <v>0.95859294834918396</v>
      </c>
      <c r="C2744">
        <v>0.26700000000000002</v>
      </c>
      <c r="D2744">
        <v>5.6000000000000001E-2</v>
      </c>
      <c r="E2744">
        <v>1.51951103641761E-10</v>
      </c>
      <c r="F2744">
        <v>6</v>
      </c>
      <c r="G2744" t="s">
        <v>5671</v>
      </c>
      <c r="H2744" t="s">
        <v>5672</v>
      </c>
      <c r="I2744" t="s">
        <v>5671</v>
      </c>
      <c r="J2744" s="1" t="str">
        <f>HYPERLINK("https://zfin.org/ZDB-GENE-010328-5")</f>
        <v>https://zfin.org/ZDB-GENE-010328-5</v>
      </c>
      <c r="K2744" t="s">
        <v>5673</v>
      </c>
    </row>
    <row r="2745" spans="1:11" x14ac:dyDescent="0.2">
      <c r="A2745">
        <v>1.1438832865553701E-14</v>
      </c>
      <c r="B2745">
        <v>0.93369653700919197</v>
      </c>
      <c r="C2745">
        <v>0.68600000000000005</v>
      </c>
      <c r="D2745">
        <v>0.39900000000000002</v>
      </c>
      <c r="E2745">
        <v>1.7710744925736801E-10</v>
      </c>
      <c r="F2745">
        <v>6</v>
      </c>
      <c r="G2745" t="s">
        <v>3224</v>
      </c>
      <c r="H2745" t="s">
        <v>3225</v>
      </c>
      <c r="I2745" t="s">
        <v>3224</v>
      </c>
      <c r="J2745" s="1" t="str">
        <f>HYPERLINK("https://zfin.org/ZDB-GENE-010606-1")</f>
        <v>https://zfin.org/ZDB-GENE-010606-1</v>
      </c>
      <c r="K2745" t="s">
        <v>3226</v>
      </c>
    </row>
    <row r="2746" spans="1:11" x14ac:dyDescent="0.2">
      <c r="A2746">
        <v>3.4796259818298599E-14</v>
      </c>
      <c r="B2746">
        <v>-1.5075767839507199</v>
      </c>
      <c r="C2746">
        <v>0.11600000000000001</v>
      </c>
      <c r="D2746">
        <v>0.55800000000000005</v>
      </c>
      <c r="E2746">
        <v>5.3875049076671695E-10</v>
      </c>
      <c r="F2746">
        <v>6</v>
      </c>
      <c r="G2746" t="s">
        <v>2681</v>
      </c>
      <c r="H2746" t="s">
        <v>2682</v>
      </c>
      <c r="I2746" t="s">
        <v>2681</v>
      </c>
      <c r="J2746" s="1" t="str">
        <f>HYPERLINK("https://zfin.org/ZDB-GENE-030131-2159")</f>
        <v>https://zfin.org/ZDB-GENE-030131-2159</v>
      </c>
      <c r="K2746" t="s">
        <v>2683</v>
      </c>
    </row>
    <row r="2747" spans="1:11" x14ac:dyDescent="0.2">
      <c r="A2747">
        <v>1.0459215939659E-13</v>
      </c>
      <c r="B2747">
        <v>0.63382461939864299</v>
      </c>
      <c r="C2747">
        <v>0.93</v>
      </c>
      <c r="D2747">
        <v>0.84699999999999998</v>
      </c>
      <c r="E2747">
        <v>1.6194004039373999E-9</v>
      </c>
      <c r="F2747">
        <v>6</v>
      </c>
      <c r="G2747" t="s">
        <v>1222</v>
      </c>
      <c r="H2747" t="s">
        <v>1223</v>
      </c>
      <c r="I2747" t="s">
        <v>1222</v>
      </c>
      <c r="J2747" s="1" t="str">
        <f>HYPERLINK("https://zfin.org/ZDB-GENE-060316-3")</f>
        <v>https://zfin.org/ZDB-GENE-060316-3</v>
      </c>
      <c r="K2747" t="s">
        <v>1224</v>
      </c>
    </row>
    <row r="2748" spans="1:11" x14ac:dyDescent="0.2">
      <c r="A2748">
        <v>1.4695968279883799E-13</v>
      </c>
      <c r="B2748">
        <v>-1.0561947964829299</v>
      </c>
      <c r="C2748">
        <v>0.221</v>
      </c>
      <c r="D2748">
        <v>0.67700000000000005</v>
      </c>
      <c r="E2748">
        <v>2.2753767687743999E-9</v>
      </c>
      <c r="F2748">
        <v>6</v>
      </c>
      <c r="G2748" t="s">
        <v>887</v>
      </c>
      <c r="H2748" t="s">
        <v>888</v>
      </c>
      <c r="I2748" t="s">
        <v>887</v>
      </c>
      <c r="J2748" s="1" t="str">
        <f>HYPERLINK("https://zfin.org/ZDB-GENE-020913-1")</f>
        <v>https://zfin.org/ZDB-GENE-020913-1</v>
      </c>
      <c r="K2748" t="s">
        <v>889</v>
      </c>
    </row>
    <row r="2749" spans="1:11" x14ac:dyDescent="0.2">
      <c r="A2749">
        <v>2.5718774735071402E-13</v>
      </c>
      <c r="B2749">
        <v>0.52419292289958797</v>
      </c>
      <c r="C2749">
        <v>0.96499999999999997</v>
      </c>
      <c r="D2749">
        <v>0.95299999999999996</v>
      </c>
      <c r="E2749">
        <v>3.98203789223111E-9</v>
      </c>
      <c r="F2749">
        <v>6</v>
      </c>
      <c r="G2749" t="s">
        <v>2221</v>
      </c>
      <c r="H2749" t="s">
        <v>2222</v>
      </c>
      <c r="I2749" t="s">
        <v>2221</v>
      </c>
      <c r="J2749" s="1" t="str">
        <f>HYPERLINK("https://zfin.org/ZDB-GENE-050208-726")</f>
        <v>https://zfin.org/ZDB-GENE-050208-726</v>
      </c>
      <c r="K2749" t="s">
        <v>2223</v>
      </c>
    </row>
    <row r="2750" spans="1:11" x14ac:dyDescent="0.2">
      <c r="A2750">
        <v>5.1754888865248495E-13</v>
      </c>
      <c r="B2750">
        <v>-1.07526839794358</v>
      </c>
      <c r="C2750">
        <v>0.105</v>
      </c>
      <c r="D2750">
        <v>0.53900000000000003</v>
      </c>
      <c r="E2750">
        <v>8.0132094430064296E-9</v>
      </c>
      <c r="F2750">
        <v>6</v>
      </c>
      <c r="G2750" t="s">
        <v>2766</v>
      </c>
      <c r="H2750" t="s">
        <v>2767</v>
      </c>
      <c r="I2750" t="s">
        <v>2766</v>
      </c>
      <c r="J2750" s="1" t="str">
        <f>HYPERLINK("https://zfin.org/ZDB-GENE-041114-138")</f>
        <v>https://zfin.org/ZDB-GENE-041114-138</v>
      </c>
      <c r="K2750" t="s">
        <v>2768</v>
      </c>
    </row>
    <row r="2751" spans="1:11" x14ac:dyDescent="0.2">
      <c r="A2751">
        <v>6.8337918388547901E-13</v>
      </c>
      <c r="B2751">
        <v>-1.03694358238441</v>
      </c>
      <c r="C2751">
        <v>0.151</v>
      </c>
      <c r="D2751">
        <v>0.57799999999999996</v>
      </c>
      <c r="E2751">
        <v>1.05807599040989E-8</v>
      </c>
      <c r="F2751">
        <v>6</v>
      </c>
      <c r="G2751" t="s">
        <v>2210</v>
      </c>
      <c r="H2751" t="s">
        <v>2211</v>
      </c>
      <c r="I2751" t="s">
        <v>2210</v>
      </c>
      <c r="J2751" s="1" t="str">
        <f>HYPERLINK("https://zfin.org/")</f>
        <v>https://zfin.org/</v>
      </c>
    </row>
    <row r="2752" spans="1:11" x14ac:dyDescent="0.2">
      <c r="A2752">
        <v>1.1689487234272799E-12</v>
      </c>
      <c r="B2752">
        <v>0.696305924873722</v>
      </c>
      <c r="C2752">
        <v>0.23300000000000001</v>
      </c>
      <c r="D2752">
        <v>4.9000000000000002E-2</v>
      </c>
      <c r="E2752">
        <v>1.8098833084824498E-8</v>
      </c>
      <c r="F2752">
        <v>6</v>
      </c>
      <c r="G2752" t="s">
        <v>5692</v>
      </c>
      <c r="H2752" t="s">
        <v>5693</v>
      </c>
      <c r="I2752" t="s">
        <v>5692</v>
      </c>
      <c r="J2752" s="1" t="str">
        <f>HYPERLINK("https://zfin.org/ZDB-GENE-090218-29")</f>
        <v>https://zfin.org/ZDB-GENE-090218-29</v>
      </c>
      <c r="K2752" t="s">
        <v>5694</v>
      </c>
    </row>
    <row r="2753" spans="1:11" x14ac:dyDescent="0.2">
      <c r="A2753">
        <v>1.1797517235118301E-12</v>
      </c>
      <c r="B2753">
        <v>0.61404759159509403</v>
      </c>
      <c r="C2753">
        <v>0.91900000000000004</v>
      </c>
      <c r="D2753">
        <v>0.86299999999999999</v>
      </c>
      <c r="E2753">
        <v>1.8266095935133701E-8</v>
      </c>
      <c r="F2753">
        <v>6</v>
      </c>
      <c r="G2753" t="s">
        <v>1258</v>
      </c>
      <c r="H2753" t="s">
        <v>1259</v>
      </c>
      <c r="I2753" t="s">
        <v>1258</v>
      </c>
      <c r="J2753" s="1" t="str">
        <f>HYPERLINK("https://zfin.org/ZDB-GENE-010328-8")</f>
        <v>https://zfin.org/ZDB-GENE-010328-8</v>
      </c>
      <c r="K2753" t="s">
        <v>1260</v>
      </c>
    </row>
    <row r="2754" spans="1:11" x14ac:dyDescent="0.2">
      <c r="A2754">
        <v>1.6040395411484801E-12</v>
      </c>
      <c r="B2754">
        <v>-2.32206811156439</v>
      </c>
      <c r="C2754">
        <v>0.45300000000000001</v>
      </c>
      <c r="D2754">
        <v>0.79300000000000004</v>
      </c>
      <c r="E2754">
        <v>2.4835344215601901E-8</v>
      </c>
      <c r="F2754">
        <v>6</v>
      </c>
      <c r="G2754" t="s">
        <v>2969</v>
      </c>
      <c r="H2754" t="s">
        <v>2970</v>
      </c>
      <c r="I2754" t="s">
        <v>2969</v>
      </c>
      <c r="J2754" s="1" t="str">
        <f>HYPERLINK("https://zfin.org/ZDB-GENE-070705-532")</f>
        <v>https://zfin.org/ZDB-GENE-070705-532</v>
      </c>
      <c r="K2754" t="s">
        <v>2971</v>
      </c>
    </row>
    <row r="2755" spans="1:11" x14ac:dyDescent="0.2">
      <c r="A2755">
        <v>2.5586235624506599E-12</v>
      </c>
      <c r="B2755">
        <v>0.52828669293851904</v>
      </c>
      <c r="C2755">
        <v>0.11600000000000001</v>
      </c>
      <c r="D2755">
        <v>1.2999999999999999E-2</v>
      </c>
      <c r="E2755">
        <v>3.9615168617423599E-8</v>
      </c>
      <c r="F2755">
        <v>6</v>
      </c>
      <c r="G2755" t="s">
        <v>5788</v>
      </c>
      <c r="H2755" t="s">
        <v>5789</v>
      </c>
      <c r="I2755" t="s">
        <v>5788</v>
      </c>
      <c r="J2755" s="1" t="str">
        <f>HYPERLINK("https://zfin.org/ZDB-GENE-010724-2")</f>
        <v>https://zfin.org/ZDB-GENE-010724-2</v>
      </c>
      <c r="K2755" t="s">
        <v>5790</v>
      </c>
    </row>
    <row r="2756" spans="1:11" x14ac:dyDescent="0.2">
      <c r="A2756">
        <v>3.4674683292644899E-12</v>
      </c>
      <c r="B2756">
        <v>0.439613186286059</v>
      </c>
      <c r="C2756">
        <v>0.98799999999999999</v>
      </c>
      <c r="D2756">
        <v>0.99199999999999999</v>
      </c>
      <c r="E2756">
        <v>5.3686812142002098E-8</v>
      </c>
      <c r="F2756">
        <v>6</v>
      </c>
      <c r="G2756" t="s">
        <v>800</v>
      </c>
      <c r="H2756" t="s">
        <v>801</v>
      </c>
      <c r="I2756" t="s">
        <v>800</v>
      </c>
      <c r="J2756" s="1" t="str">
        <f>HYPERLINK("https://zfin.org/ZDB-GENE-040426-2209")</f>
        <v>https://zfin.org/ZDB-GENE-040426-2209</v>
      </c>
      <c r="K2756" t="s">
        <v>802</v>
      </c>
    </row>
    <row r="2757" spans="1:11" x14ac:dyDescent="0.2">
      <c r="A2757">
        <v>3.7273558224654798E-12</v>
      </c>
      <c r="B2757">
        <v>0.55457987540391696</v>
      </c>
      <c r="C2757">
        <v>0.14000000000000001</v>
      </c>
      <c r="D2757">
        <v>1.9E-2</v>
      </c>
      <c r="E2757">
        <v>5.7710650199233002E-8</v>
      </c>
      <c r="F2757">
        <v>6</v>
      </c>
      <c r="G2757" t="s">
        <v>5878</v>
      </c>
      <c r="H2757" t="s">
        <v>5879</v>
      </c>
      <c r="I2757" t="s">
        <v>5878</v>
      </c>
      <c r="J2757" s="1" t="str">
        <f>HYPERLINK("https://zfin.org/ZDB-GENE-111031-1")</f>
        <v>https://zfin.org/ZDB-GENE-111031-1</v>
      </c>
      <c r="K2757" t="s">
        <v>5880</v>
      </c>
    </row>
    <row r="2758" spans="1:11" x14ac:dyDescent="0.2">
      <c r="A2758">
        <v>1.1301906860710601E-11</v>
      </c>
      <c r="B2758">
        <v>0.90195758810267801</v>
      </c>
      <c r="C2758">
        <v>0.45300000000000001</v>
      </c>
      <c r="D2758">
        <v>0.19</v>
      </c>
      <c r="E2758">
        <v>1.7498742392438199E-7</v>
      </c>
      <c r="F2758">
        <v>6</v>
      </c>
      <c r="G2758" t="s">
        <v>5172</v>
      </c>
      <c r="H2758" t="s">
        <v>5173</v>
      </c>
      <c r="I2758" t="s">
        <v>5172</v>
      </c>
      <c r="J2758" s="1" t="str">
        <f>HYPERLINK("https://zfin.org/ZDB-GENE-131127-337")</f>
        <v>https://zfin.org/ZDB-GENE-131127-337</v>
      </c>
      <c r="K2758" t="s">
        <v>5174</v>
      </c>
    </row>
    <row r="2759" spans="1:11" x14ac:dyDescent="0.2">
      <c r="A2759">
        <v>1.18604677965873E-11</v>
      </c>
      <c r="B2759">
        <v>0.63688596774835204</v>
      </c>
      <c r="C2759">
        <v>0.86</v>
      </c>
      <c r="D2759">
        <v>0.622</v>
      </c>
      <c r="E2759">
        <v>1.8363562289456099E-7</v>
      </c>
      <c r="F2759">
        <v>6</v>
      </c>
      <c r="G2759" t="s">
        <v>2389</v>
      </c>
      <c r="H2759" t="s">
        <v>2390</v>
      </c>
      <c r="I2759" t="s">
        <v>2389</v>
      </c>
      <c r="J2759" s="1" t="str">
        <f>HYPERLINK("https://zfin.org/ZDB-GENE-050308-1")</f>
        <v>https://zfin.org/ZDB-GENE-050308-1</v>
      </c>
      <c r="K2759" t="s">
        <v>2391</v>
      </c>
    </row>
    <row r="2760" spans="1:11" x14ac:dyDescent="0.2">
      <c r="A2760">
        <v>1.39504662143441E-11</v>
      </c>
      <c r="B2760">
        <v>-0.85933735305321202</v>
      </c>
      <c r="C2760">
        <v>1</v>
      </c>
      <c r="D2760">
        <v>1</v>
      </c>
      <c r="E2760">
        <v>2.1599506839668999E-7</v>
      </c>
      <c r="F2760">
        <v>6</v>
      </c>
      <c r="G2760" t="s">
        <v>708</v>
      </c>
      <c r="H2760" t="s">
        <v>709</v>
      </c>
      <c r="I2760" t="s">
        <v>708</v>
      </c>
      <c r="J2760" s="1" t="str">
        <f>HYPERLINK("https://zfin.org/ZDB-GENE-030805-3")</f>
        <v>https://zfin.org/ZDB-GENE-030805-3</v>
      </c>
      <c r="K2760" t="s">
        <v>710</v>
      </c>
    </row>
    <row r="2761" spans="1:11" x14ac:dyDescent="0.2">
      <c r="A2761">
        <v>1.5386859011641001E-11</v>
      </c>
      <c r="B2761">
        <v>-0.97425526171946697</v>
      </c>
      <c r="C2761">
        <v>7.0000000000000007E-2</v>
      </c>
      <c r="D2761">
        <v>0.47</v>
      </c>
      <c r="E2761">
        <v>2.3823473807723701E-7</v>
      </c>
      <c r="F2761">
        <v>6</v>
      </c>
      <c r="G2761" t="s">
        <v>3995</v>
      </c>
      <c r="H2761" t="s">
        <v>3996</v>
      </c>
      <c r="I2761" t="s">
        <v>3995</v>
      </c>
      <c r="J2761" s="1" t="str">
        <f>HYPERLINK("https://zfin.org/ZDB-GENE-050417-338")</f>
        <v>https://zfin.org/ZDB-GENE-050417-338</v>
      </c>
      <c r="K2761" t="s">
        <v>3997</v>
      </c>
    </row>
    <row r="2762" spans="1:11" x14ac:dyDescent="0.2">
      <c r="A2762">
        <v>2.4126230470011301E-11</v>
      </c>
      <c r="B2762">
        <v>0.66756482105093795</v>
      </c>
      <c r="C2762">
        <v>0.75600000000000001</v>
      </c>
      <c r="D2762">
        <v>0.53800000000000003</v>
      </c>
      <c r="E2762">
        <v>3.7354642636718498E-7</v>
      </c>
      <c r="F2762">
        <v>6</v>
      </c>
      <c r="G2762" t="s">
        <v>2930</v>
      </c>
      <c r="H2762" t="s">
        <v>2931</v>
      </c>
      <c r="I2762" t="s">
        <v>2930</v>
      </c>
      <c r="J2762" s="1" t="str">
        <f>HYPERLINK("https://zfin.org/ZDB-GENE-031016-2")</f>
        <v>https://zfin.org/ZDB-GENE-031016-2</v>
      </c>
      <c r="K2762" t="s">
        <v>2932</v>
      </c>
    </row>
    <row r="2763" spans="1:11" x14ac:dyDescent="0.2">
      <c r="A2763">
        <v>2.83056875002703E-11</v>
      </c>
      <c r="B2763">
        <v>-1.1493435550506199</v>
      </c>
      <c r="C2763">
        <v>0.23300000000000001</v>
      </c>
      <c r="D2763">
        <v>0.61</v>
      </c>
      <c r="E2763">
        <v>4.3825695956668398E-7</v>
      </c>
      <c r="F2763">
        <v>6</v>
      </c>
      <c r="G2763" t="s">
        <v>2826</v>
      </c>
      <c r="H2763" t="s">
        <v>2827</v>
      </c>
      <c r="I2763" t="s">
        <v>2826</v>
      </c>
      <c r="J2763" s="1" t="str">
        <f>HYPERLINK("https://zfin.org/ZDB-GENE-040426-2826")</f>
        <v>https://zfin.org/ZDB-GENE-040426-2826</v>
      </c>
      <c r="K2763" t="s">
        <v>2828</v>
      </c>
    </row>
    <row r="2764" spans="1:11" x14ac:dyDescent="0.2">
      <c r="A2764">
        <v>6.1344586248384104E-11</v>
      </c>
      <c r="B2764">
        <v>-1.05955046948883</v>
      </c>
      <c r="C2764">
        <v>0.29099999999999998</v>
      </c>
      <c r="D2764">
        <v>0.65200000000000002</v>
      </c>
      <c r="E2764">
        <v>9.4979822888373099E-7</v>
      </c>
      <c r="F2764">
        <v>6</v>
      </c>
      <c r="G2764" t="s">
        <v>5510</v>
      </c>
      <c r="H2764" t="s">
        <v>5511</v>
      </c>
      <c r="I2764" t="s">
        <v>5510</v>
      </c>
      <c r="J2764" s="1" t="str">
        <f>HYPERLINK("https://zfin.org/ZDB-GENE-000619-1")</f>
        <v>https://zfin.org/ZDB-GENE-000619-1</v>
      </c>
      <c r="K2764" t="s">
        <v>5512</v>
      </c>
    </row>
    <row r="2765" spans="1:11" x14ac:dyDescent="0.2">
      <c r="A2765">
        <v>1.2755796637816399E-10</v>
      </c>
      <c r="B2765">
        <v>-1.27702323171152</v>
      </c>
      <c r="C2765">
        <v>0.128</v>
      </c>
      <c r="D2765">
        <v>0.51</v>
      </c>
      <c r="E2765">
        <v>1.9749799934331099E-6</v>
      </c>
      <c r="F2765">
        <v>6</v>
      </c>
      <c r="G2765" t="s">
        <v>5330</v>
      </c>
      <c r="H2765" t="s">
        <v>5331</v>
      </c>
      <c r="I2765" t="s">
        <v>5330</v>
      </c>
      <c r="J2765" s="1" t="str">
        <f>HYPERLINK("https://zfin.org/ZDB-GENE-080917-47")</f>
        <v>https://zfin.org/ZDB-GENE-080917-47</v>
      </c>
      <c r="K2765" t="s">
        <v>5332</v>
      </c>
    </row>
    <row r="2766" spans="1:11" x14ac:dyDescent="0.2">
      <c r="A2766">
        <v>2.7185290311357999E-10</v>
      </c>
      <c r="B2766">
        <v>-1.2492567435945601</v>
      </c>
      <c r="C2766">
        <v>0.20899999999999999</v>
      </c>
      <c r="D2766">
        <v>0.55100000000000005</v>
      </c>
      <c r="E2766">
        <v>4.2090984989075597E-6</v>
      </c>
      <c r="F2766">
        <v>6</v>
      </c>
      <c r="G2766" t="s">
        <v>3002</v>
      </c>
      <c r="H2766" t="s">
        <v>3003</v>
      </c>
      <c r="I2766" t="s">
        <v>3002</v>
      </c>
      <c r="J2766" s="1" t="str">
        <f>HYPERLINK("https://zfin.org/ZDB-GENE-141215-49")</f>
        <v>https://zfin.org/ZDB-GENE-141215-49</v>
      </c>
      <c r="K2766" t="s">
        <v>3004</v>
      </c>
    </row>
    <row r="2767" spans="1:11" x14ac:dyDescent="0.2">
      <c r="A2767">
        <v>3.03321272978087E-10</v>
      </c>
      <c r="B2767">
        <v>-1.9366134329948399</v>
      </c>
      <c r="C2767">
        <v>0.83699999999999997</v>
      </c>
      <c r="D2767">
        <v>0.94599999999999995</v>
      </c>
      <c r="E2767">
        <v>4.6963232695197198E-6</v>
      </c>
      <c r="F2767">
        <v>6</v>
      </c>
      <c r="G2767" t="s">
        <v>2981</v>
      </c>
      <c r="H2767" t="s">
        <v>2982</v>
      </c>
      <c r="I2767" t="s">
        <v>2981</v>
      </c>
      <c r="J2767" s="1" t="str">
        <f>HYPERLINK("https://zfin.org/ZDB-GENE-121214-193")</f>
        <v>https://zfin.org/ZDB-GENE-121214-193</v>
      </c>
      <c r="K2767" t="s">
        <v>2983</v>
      </c>
    </row>
    <row r="2768" spans="1:11" x14ac:dyDescent="0.2">
      <c r="A2768">
        <v>3.0824360039861102E-10</v>
      </c>
      <c r="B2768">
        <v>0.79292549145339297</v>
      </c>
      <c r="C2768">
        <v>0.69799999999999995</v>
      </c>
      <c r="D2768">
        <v>0.53</v>
      </c>
      <c r="E2768">
        <v>4.7725356649717003E-6</v>
      </c>
      <c r="F2768">
        <v>6</v>
      </c>
      <c r="G2768" t="s">
        <v>5757</v>
      </c>
      <c r="H2768" t="s">
        <v>5758</v>
      </c>
      <c r="I2768" t="s">
        <v>5757</v>
      </c>
      <c r="J2768" s="1" t="str">
        <f>HYPERLINK("https://zfin.org/ZDB-GENE-000406-5")</f>
        <v>https://zfin.org/ZDB-GENE-000406-5</v>
      </c>
      <c r="K2768" t="s">
        <v>5759</v>
      </c>
    </row>
    <row r="2769" spans="1:11" x14ac:dyDescent="0.2">
      <c r="A2769">
        <v>9.0708229100143303E-10</v>
      </c>
      <c r="B2769">
        <v>-0.91559632831279902</v>
      </c>
      <c r="C2769">
        <v>0.186</v>
      </c>
      <c r="D2769">
        <v>0.54900000000000004</v>
      </c>
      <c r="E2769">
        <v>1.4044355111575201E-5</v>
      </c>
      <c r="F2769">
        <v>6</v>
      </c>
      <c r="G2769" t="s">
        <v>2975</v>
      </c>
      <c r="H2769" t="s">
        <v>2976</v>
      </c>
      <c r="I2769" t="s">
        <v>2975</v>
      </c>
      <c r="J2769" s="1" t="str">
        <f>HYPERLINK("https://zfin.org/ZDB-GENE-030131-9")</f>
        <v>https://zfin.org/ZDB-GENE-030131-9</v>
      </c>
      <c r="K2769" t="s">
        <v>2977</v>
      </c>
    </row>
    <row r="2770" spans="1:11" x14ac:dyDescent="0.2">
      <c r="A2770">
        <v>1.0294910159984599E-9</v>
      </c>
      <c r="B2770">
        <v>-1.17157511051787</v>
      </c>
      <c r="C2770">
        <v>4.7E-2</v>
      </c>
      <c r="D2770">
        <v>0.38100000000000001</v>
      </c>
      <c r="E2770">
        <v>1.5939609400704101E-5</v>
      </c>
      <c r="F2770">
        <v>6</v>
      </c>
      <c r="G2770" t="s">
        <v>5603</v>
      </c>
      <c r="H2770" t="s">
        <v>5604</v>
      </c>
      <c r="I2770" t="s">
        <v>5603</v>
      </c>
      <c r="J2770" s="1" t="str">
        <f>HYPERLINK("https://zfin.org/ZDB-GENE-980605-16")</f>
        <v>https://zfin.org/ZDB-GENE-980605-16</v>
      </c>
      <c r="K2770" t="s">
        <v>5605</v>
      </c>
    </row>
    <row r="2771" spans="1:11" x14ac:dyDescent="0.2">
      <c r="A2771">
        <v>1.1382427598714101E-9</v>
      </c>
      <c r="B2771">
        <v>-0.66640518985140296</v>
      </c>
      <c r="C2771">
        <v>0.40699999999999997</v>
      </c>
      <c r="D2771">
        <v>0.72799999999999998</v>
      </c>
      <c r="E2771">
        <v>1.7623412651088999E-5</v>
      </c>
      <c r="F2771">
        <v>6</v>
      </c>
      <c r="G2771" t="s">
        <v>1670</v>
      </c>
      <c r="H2771" t="s">
        <v>1671</v>
      </c>
      <c r="I2771" t="s">
        <v>1670</v>
      </c>
      <c r="J2771" s="1" t="str">
        <f>HYPERLINK("https://zfin.org/ZDB-GENE-030131-124")</f>
        <v>https://zfin.org/ZDB-GENE-030131-124</v>
      </c>
      <c r="K2771" t="s">
        <v>1672</v>
      </c>
    </row>
    <row r="2772" spans="1:11" x14ac:dyDescent="0.2">
      <c r="A2772">
        <v>1.7337174094236399E-9</v>
      </c>
      <c r="B2772">
        <v>-1.3782247996311701</v>
      </c>
      <c r="C2772">
        <v>3.5000000000000003E-2</v>
      </c>
      <c r="D2772">
        <v>0.35499999999999998</v>
      </c>
      <c r="E2772">
        <v>2.6843146650106199E-5</v>
      </c>
      <c r="F2772">
        <v>6</v>
      </c>
      <c r="G2772" t="s">
        <v>5881</v>
      </c>
      <c r="H2772" t="s">
        <v>5882</v>
      </c>
      <c r="I2772" t="s">
        <v>5881</v>
      </c>
      <c r="J2772" s="1" t="str">
        <f>HYPERLINK("https://zfin.org/")</f>
        <v>https://zfin.org/</v>
      </c>
    </row>
    <row r="2773" spans="1:11" x14ac:dyDescent="0.2">
      <c r="A2773">
        <v>1.8633360124964101E-9</v>
      </c>
      <c r="B2773">
        <v>0.55711175759070797</v>
      </c>
      <c r="C2773">
        <v>0.93</v>
      </c>
      <c r="D2773">
        <v>0.877</v>
      </c>
      <c r="E2773">
        <v>2.8850031481481901E-5</v>
      </c>
      <c r="F2773">
        <v>6</v>
      </c>
      <c r="G2773" t="s">
        <v>1231</v>
      </c>
      <c r="H2773" t="s">
        <v>1232</v>
      </c>
      <c r="I2773" t="s">
        <v>1231</v>
      </c>
      <c r="J2773" s="1" t="str">
        <f>HYPERLINK("https://zfin.org/ZDB-GENE-110411-160")</f>
        <v>https://zfin.org/ZDB-GENE-110411-160</v>
      </c>
      <c r="K2773" t="s">
        <v>1233</v>
      </c>
    </row>
    <row r="2774" spans="1:11" x14ac:dyDescent="0.2">
      <c r="A2774">
        <v>2.5088789866921502E-9</v>
      </c>
      <c r="B2774">
        <v>0.69905759854328298</v>
      </c>
      <c r="C2774">
        <v>0.56999999999999995</v>
      </c>
      <c r="D2774">
        <v>0.35099999999999998</v>
      </c>
      <c r="E2774">
        <v>3.8844973350954499E-5</v>
      </c>
      <c r="F2774">
        <v>6</v>
      </c>
      <c r="G2774" t="s">
        <v>5883</v>
      </c>
      <c r="H2774" t="s">
        <v>5884</v>
      </c>
      <c r="I2774" t="s">
        <v>5883</v>
      </c>
      <c r="J2774" s="1" t="str">
        <f>HYPERLINK("https://zfin.org/ZDB-GENE-060503-288")</f>
        <v>https://zfin.org/ZDB-GENE-060503-288</v>
      </c>
      <c r="K2774" t="s">
        <v>5885</v>
      </c>
    </row>
    <row r="2775" spans="1:11" x14ac:dyDescent="0.2">
      <c r="A2775">
        <v>2.76163517028891E-9</v>
      </c>
      <c r="B2775">
        <v>-0.92509115414048704</v>
      </c>
      <c r="C2775">
        <v>0.26700000000000002</v>
      </c>
      <c r="D2775">
        <v>0.64900000000000002</v>
      </c>
      <c r="E2775">
        <v>4.2758397341583199E-5</v>
      </c>
      <c r="F2775">
        <v>6</v>
      </c>
      <c r="G2775" t="s">
        <v>923</v>
      </c>
      <c r="H2775" t="s">
        <v>924</v>
      </c>
      <c r="I2775" t="s">
        <v>923</v>
      </c>
      <c r="J2775" s="1" t="str">
        <f>HYPERLINK("https://zfin.org/ZDB-GENE-030131-1226")</f>
        <v>https://zfin.org/ZDB-GENE-030131-1226</v>
      </c>
      <c r="K2775" t="s">
        <v>925</v>
      </c>
    </row>
    <row r="2776" spans="1:11" x14ac:dyDescent="0.2">
      <c r="A2776">
        <v>2.7890375038958599E-9</v>
      </c>
      <c r="B2776">
        <v>0.62112624059873101</v>
      </c>
      <c r="C2776">
        <v>0.93</v>
      </c>
      <c r="D2776">
        <v>0.84499999999999997</v>
      </c>
      <c r="E2776">
        <v>4.31826676728196E-5</v>
      </c>
      <c r="F2776">
        <v>6</v>
      </c>
      <c r="G2776" t="s">
        <v>2072</v>
      </c>
      <c r="H2776" t="s">
        <v>2073</v>
      </c>
      <c r="I2776" t="s">
        <v>2072</v>
      </c>
      <c r="J2776" s="1" t="str">
        <f>HYPERLINK("https://zfin.org/ZDB-GENE-030131-8599")</f>
        <v>https://zfin.org/ZDB-GENE-030131-8599</v>
      </c>
      <c r="K2776" t="s">
        <v>2074</v>
      </c>
    </row>
    <row r="2777" spans="1:11" x14ac:dyDescent="0.2">
      <c r="A2777">
        <v>3.06592764966569E-9</v>
      </c>
      <c r="B2777">
        <v>0.80058721768451202</v>
      </c>
      <c r="C2777">
        <v>0.56999999999999995</v>
      </c>
      <c r="D2777">
        <v>0.36199999999999999</v>
      </c>
      <c r="E2777">
        <v>4.7469757799773902E-5</v>
      </c>
      <c r="F2777">
        <v>6</v>
      </c>
      <c r="G2777" t="s">
        <v>3296</v>
      </c>
      <c r="H2777" t="s">
        <v>3297</v>
      </c>
      <c r="I2777" t="s">
        <v>3296</v>
      </c>
      <c r="J2777" s="1" t="str">
        <f>HYPERLINK("https://zfin.org/ZDB-GENE-031116-61")</f>
        <v>https://zfin.org/ZDB-GENE-031116-61</v>
      </c>
      <c r="K2777" t="s">
        <v>3298</v>
      </c>
    </row>
    <row r="2778" spans="1:11" x14ac:dyDescent="0.2">
      <c r="A2778">
        <v>3.10164303219612E-9</v>
      </c>
      <c r="B2778">
        <v>0.71210532857461795</v>
      </c>
      <c r="C2778">
        <v>0.20899999999999999</v>
      </c>
      <c r="D2778">
        <v>5.3999999999999999E-2</v>
      </c>
      <c r="E2778">
        <v>4.8022739067492598E-5</v>
      </c>
      <c r="F2778">
        <v>6</v>
      </c>
      <c r="G2778" t="s">
        <v>5650</v>
      </c>
      <c r="H2778" t="s">
        <v>5651</v>
      </c>
      <c r="I2778" t="s">
        <v>5650</v>
      </c>
      <c r="J2778" s="1" t="str">
        <f>HYPERLINK("https://zfin.org/ZDB-GENE-040718-335")</f>
        <v>https://zfin.org/ZDB-GENE-040718-335</v>
      </c>
      <c r="K2778" t="s">
        <v>5652</v>
      </c>
    </row>
    <row r="2779" spans="1:11" x14ac:dyDescent="0.2">
      <c r="A2779">
        <v>4.2150567064209001E-9</v>
      </c>
      <c r="B2779">
        <v>-0.84471048368956503</v>
      </c>
      <c r="C2779">
        <v>0.19800000000000001</v>
      </c>
      <c r="D2779">
        <v>0.55200000000000005</v>
      </c>
      <c r="E2779">
        <v>6.5261722985514797E-5</v>
      </c>
      <c r="F2779">
        <v>6</v>
      </c>
      <c r="G2779" t="s">
        <v>2793</v>
      </c>
      <c r="H2779" t="s">
        <v>2794</v>
      </c>
      <c r="I2779" t="s">
        <v>2793</v>
      </c>
      <c r="J2779" s="1" t="str">
        <f>HYPERLINK("https://zfin.org/ZDB-GENE-050320-109")</f>
        <v>https://zfin.org/ZDB-GENE-050320-109</v>
      </c>
      <c r="K2779" t="s">
        <v>2795</v>
      </c>
    </row>
    <row r="2780" spans="1:11" x14ac:dyDescent="0.2">
      <c r="A2780">
        <v>4.5947300311749003E-9</v>
      </c>
      <c r="B2780">
        <v>-0.73984721668093101</v>
      </c>
      <c r="C2780">
        <v>0.5</v>
      </c>
      <c r="D2780">
        <v>0.78400000000000003</v>
      </c>
      <c r="E2780">
        <v>7.1140205072680896E-5</v>
      </c>
      <c r="F2780">
        <v>6</v>
      </c>
      <c r="G2780" t="s">
        <v>1901</v>
      </c>
      <c r="H2780" t="s">
        <v>1902</v>
      </c>
      <c r="I2780" t="s">
        <v>1901</v>
      </c>
      <c r="J2780" s="1" t="str">
        <f>HYPERLINK("https://zfin.org/ZDB-GENE-010129-1")</f>
        <v>https://zfin.org/ZDB-GENE-010129-1</v>
      </c>
      <c r="K2780" t="s">
        <v>1903</v>
      </c>
    </row>
    <row r="2781" spans="1:11" x14ac:dyDescent="0.2">
      <c r="A2781">
        <v>3.0670291624227699E-117</v>
      </c>
      <c r="B2781">
        <v>1.7413349038196699</v>
      </c>
      <c r="C2781">
        <v>0.77700000000000002</v>
      </c>
      <c r="D2781">
        <v>0.104</v>
      </c>
      <c r="E2781">
        <v>4.7486812521791797E-113</v>
      </c>
      <c r="F2781">
        <v>7</v>
      </c>
      <c r="G2781" t="s">
        <v>5886</v>
      </c>
      <c r="H2781" t="s">
        <v>5887</v>
      </c>
      <c r="I2781" t="s">
        <v>5886</v>
      </c>
      <c r="J2781" s="1" t="str">
        <f>HYPERLINK("https://zfin.org/ZDB-GENE-980526-112")</f>
        <v>https://zfin.org/ZDB-GENE-980526-112</v>
      </c>
      <c r="K2781" t="s">
        <v>5888</v>
      </c>
    </row>
    <row r="2782" spans="1:11" x14ac:dyDescent="0.2">
      <c r="A2782">
        <v>2.53726470396223E-93</v>
      </c>
      <c r="B2782">
        <v>1.7577688038388599</v>
      </c>
      <c r="C2782">
        <v>0.88300000000000001</v>
      </c>
      <c r="D2782">
        <v>0.23499999999999999</v>
      </c>
      <c r="E2782">
        <v>3.9284469411447198E-89</v>
      </c>
      <c r="F2782">
        <v>7</v>
      </c>
      <c r="G2782" t="s">
        <v>5889</v>
      </c>
      <c r="H2782" t="s">
        <v>5890</v>
      </c>
      <c r="I2782" t="s">
        <v>5889</v>
      </c>
      <c r="J2782" s="1" t="str">
        <f>HYPERLINK("https://zfin.org/ZDB-GENE-070720-11")</f>
        <v>https://zfin.org/ZDB-GENE-070720-11</v>
      </c>
      <c r="K2782" t="s">
        <v>5891</v>
      </c>
    </row>
    <row r="2783" spans="1:11" x14ac:dyDescent="0.2">
      <c r="A2783">
        <v>7.8697743324858594E-88</v>
      </c>
      <c r="B2783">
        <v>1.4938968773958701</v>
      </c>
      <c r="C2783">
        <v>0.872</v>
      </c>
      <c r="D2783">
        <v>0.218</v>
      </c>
      <c r="E2783">
        <v>1.21847715989879E-83</v>
      </c>
      <c r="F2783">
        <v>7</v>
      </c>
      <c r="G2783" t="s">
        <v>5892</v>
      </c>
      <c r="H2783" t="s">
        <v>5893</v>
      </c>
      <c r="I2783" t="s">
        <v>5892</v>
      </c>
      <c r="J2783" s="1" t="str">
        <f>HYPERLINK("https://zfin.org/ZDB-GENE-070112-292")</f>
        <v>https://zfin.org/ZDB-GENE-070112-292</v>
      </c>
      <c r="K2783" t="s">
        <v>5894</v>
      </c>
    </row>
    <row r="2784" spans="1:11" x14ac:dyDescent="0.2">
      <c r="A2784">
        <v>1.9381290862352901E-86</v>
      </c>
      <c r="B2784">
        <v>1.96132745174825</v>
      </c>
      <c r="C2784">
        <v>0.77700000000000002</v>
      </c>
      <c r="D2784">
        <v>0.183</v>
      </c>
      <c r="E2784">
        <v>3.0008052642180998E-82</v>
      </c>
      <c r="F2784">
        <v>7</v>
      </c>
      <c r="G2784" t="s">
        <v>5895</v>
      </c>
      <c r="H2784" t="s">
        <v>5896</v>
      </c>
      <c r="I2784" t="s">
        <v>5895</v>
      </c>
      <c r="J2784" s="1" t="str">
        <f>HYPERLINK("https://zfin.org/ZDB-GENE-040426-1430")</f>
        <v>https://zfin.org/ZDB-GENE-040426-1430</v>
      </c>
      <c r="K2784" t="s">
        <v>5897</v>
      </c>
    </row>
    <row r="2785" spans="1:11" x14ac:dyDescent="0.2">
      <c r="A2785">
        <v>3.29064155485955E-83</v>
      </c>
      <c r="B2785">
        <v>1.4821965612122401</v>
      </c>
      <c r="C2785">
        <v>0.90500000000000003</v>
      </c>
      <c r="D2785">
        <v>0.28999999999999998</v>
      </c>
      <c r="E2785">
        <v>5.0949003193890302E-79</v>
      </c>
      <c r="F2785">
        <v>7</v>
      </c>
      <c r="G2785" t="s">
        <v>5603</v>
      </c>
      <c r="H2785" t="s">
        <v>5604</v>
      </c>
      <c r="I2785" t="s">
        <v>5603</v>
      </c>
      <c r="J2785" s="1" t="str">
        <f>HYPERLINK("https://zfin.org/ZDB-GENE-980605-16")</f>
        <v>https://zfin.org/ZDB-GENE-980605-16</v>
      </c>
      <c r="K2785" t="s">
        <v>5605</v>
      </c>
    </row>
    <row r="2786" spans="1:11" x14ac:dyDescent="0.2">
      <c r="A2786">
        <v>3.4395801556303002E-82</v>
      </c>
      <c r="B2786">
        <v>1.92894265649654</v>
      </c>
      <c r="C2786">
        <v>0.99399999999999999</v>
      </c>
      <c r="D2786">
        <v>0.67100000000000004</v>
      </c>
      <c r="E2786">
        <v>5.3255019549623904E-78</v>
      </c>
      <c r="F2786">
        <v>7</v>
      </c>
      <c r="G2786" t="s">
        <v>2428</v>
      </c>
      <c r="H2786" t="s">
        <v>2429</v>
      </c>
      <c r="I2786" t="s">
        <v>2428</v>
      </c>
      <c r="J2786" s="1" t="str">
        <f>HYPERLINK("https://zfin.org/ZDB-GENE-111109-2")</f>
        <v>https://zfin.org/ZDB-GENE-111109-2</v>
      </c>
      <c r="K2786" t="s">
        <v>2430</v>
      </c>
    </row>
    <row r="2787" spans="1:11" x14ac:dyDescent="0.2">
      <c r="A2787">
        <v>1.3857376944265599E-81</v>
      </c>
      <c r="B2787">
        <v>1.1225455859804501</v>
      </c>
      <c r="C2787">
        <v>0.503</v>
      </c>
      <c r="D2787">
        <v>4.8000000000000001E-2</v>
      </c>
      <c r="E2787">
        <v>2.14553767228064E-77</v>
      </c>
      <c r="F2787">
        <v>7</v>
      </c>
      <c r="G2787" t="s">
        <v>5898</v>
      </c>
      <c r="H2787" t="s">
        <v>5899</v>
      </c>
      <c r="I2787" t="s">
        <v>5898</v>
      </c>
      <c r="J2787" s="1" t="str">
        <f>HYPERLINK("https://zfin.org/ZDB-GENE-090313-161")</f>
        <v>https://zfin.org/ZDB-GENE-090313-161</v>
      </c>
      <c r="K2787" t="s">
        <v>5900</v>
      </c>
    </row>
    <row r="2788" spans="1:11" x14ac:dyDescent="0.2">
      <c r="A2788">
        <v>1.2575791154848099E-79</v>
      </c>
      <c r="B2788">
        <v>1.48602300439391</v>
      </c>
      <c r="C2788">
        <v>0.88800000000000001</v>
      </c>
      <c r="D2788">
        <v>0.28199999999999997</v>
      </c>
      <c r="E2788">
        <v>1.9471097445051299E-75</v>
      </c>
      <c r="F2788">
        <v>7</v>
      </c>
      <c r="G2788" t="s">
        <v>5901</v>
      </c>
      <c r="H2788" t="s">
        <v>5902</v>
      </c>
      <c r="I2788" t="s">
        <v>5901</v>
      </c>
      <c r="J2788" s="1" t="str">
        <f>HYPERLINK("https://zfin.org/ZDB-GENE-030411-6")</f>
        <v>https://zfin.org/ZDB-GENE-030411-6</v>
      </c>
      <c r="K2788" t="s">
        <v>5903</v>
      </c>
    </row>
    <row r="2789" spans="1:11" x14ac:dyDescent="0.2">
      <c r="A2789">
        <v>1.7318368391272799E-72</v>
      </c>
      <c r="B2789">
        <v>1.2288201759941999</v>
      </c>
      <c r="C2789">
        <v>1</v>
      </c>
      <c r="D2789">
        <v>0.69</v>
      </c>
      <c r="E2789">
        <v>2.6814029780207699E-68</v>
      </c>
      <c r="F2789">
        <v>7</v>
      </c>
      <c r="G2789" t="s">
        <v>3365</v>
      </c>
      <c r="H2789" t="s">
        <v>3366</v>
      </c>
      <c r="I2789" t="s">
        <v>3365</v>
      </c>
      <c r="J2789" s="1" t="str">
        <f>HYPERLINK("https://zfin.org/ZDB-GENE-030411-5")</f>
        <v>https://zfin.org/ZDB-GENE-030411-5</v>
      </c>
      <c r="K2789" t="s">
        <v>3367</v>
      </c>
    </row>
    <row r="2790" spans="1:11" x14ac:dyDescent="0.2">
      <c r="A2790">
        <v>3.2872248229712801E-72</v>
      </c>
      <c r="B2790">
        <v>1.83018850495332</v>
      </c>
      <c r="C2790">
        <v>0.98899999999999999</v>
      </c>
      <c r="D2790">
        <v>0.745</v>
      </c>
      <c r="E2790">
        <v>5.08961019340643E-68</v>
      </c>
      <c r="F2790">
        <v>7</v>
      </c>
      <c r="G2790" t="s">
        <v>2969</v>
      </c>
      <c r="H2790" t="s">
        <v>2970</v>
      </c>
      <c r="I2790" t="s">
        <v>2969</v>
      </c>
      <c r="J2790" s="1" t="str">
        <f>HYPERLINK("https://zfin.org/ZDB-GENE-070705-532")</f>
        <v>https://zfin.org/ZDB-GENE-070705-532</v>
      </c>
      <c r="K2790" t="s">
        <v>2971</v>
      </c>
    </row>
    <row r="2791" spans="1:11" x14ac:dyDescent="0.2">
      <c r="A2791">
        <v>2.9859763019656701E-71</v>
      </c>
      <c r="B2791">
        <v>1.3867634367419299</v>
      </c>
      <c r="C2791">
        <v>0.95499999999999996</v>
      </c>
      <c r="D2791">
        <v>0.47499999999999998</v>
      </c>
      <c r="E2791">
        <v>4.6231871083334502E-67</v>
      </c>
      <c r="F2791">
        <v>7</v>
      </c>
      <c r="G2791" t="s">
        <v>3002</v>
      </c>
      <c r="H2791" t="s">
        <v>3003</v>
      </c>
      <c r="I2791" t="s">
        <v>3002</v>
      </c>
      <c r="J2791" s="1" t="str">
        <f>HYPERLINK("https://zfin.org/ZDB-GENE-141215-49")</f>
        <v>https://zfin.org/ZDB-GENE-141215-49</v>
      </c>
      <c r="K2791" t="s">
        <v>3004</v>
      </c>
    </row>
    <row r="2792" spans="1:11" x14ac:dyDescent="0.2">
      <c r="A2792">
        <v>3.9932778551331402E-71</v>
      </c>
      <c r="B2792">
        <v>0.97971358399751296</v>
      </c>
      <c r="C2792">
        <v>0.374</v>
      </c>
      <c r="D2792">
        <v>2.5000000000000001E-2</v>
      </c>
      <c r="E2792">
        <v>6.1827921031026395E-67</v>
      </c>
      <c r="F2792">
        <v>7</v>
      </c>
      <c r="G2792" t="s">
        <v>5904</v>
      </c>
      <c r="H2792" t="s">
        <v>5905</v>
      </c>
      <c r="I2792" t="s">
        <v>5904</v>
      </c>
      <c r="J2792" s="1" t="str">
        <f>HYPERLINK("https://zfin.org/ZDB-GENE-020320-4")</f>
        <v>https://zfin.org/ZDB-GENE-020320-4</v>
      </c>
      <c r="K2792" t="s">
        <v>5906</v>
      </c>
    </row>
    <row r="2793" spans="1:11" x14ac:dyDescent="0.2">
      <c r="A2793">
        <v>9.2532753238447603E-71</v>
      </c>
      <c r="B2793">
        <v>1.4641053716580099</v>
      </c>
      <c r="C2793">
        <v>0.93300000000000005</v>
      </c>
      <c r="D2793">
        <v>0.438</v>
      </c>
      <c r="E2793">
        <v>1.4326846183908799E-66</v>
      </c>
      <c r="F2793">
        <v>7</v>
      </c>
      <c r="G2793" t="s">
        <v>5907</v>
      </c>
      <c r="H2793" t="s">
        <v>5908</v>
      </c>
      <c r="I2793" t="s">
        <v>5907</v>
      </c>
      <c r="J2793" s="1" t="str">
        <f>HYPERLINK("https://zfin.org/ZDB-GENE-030131-688")</f>
        <v>https://zfin.org/ZDB-GENE-030131-688</v>
      </c>
      <c r="K2793" t="s">
        <v>5909</v>
      </c>
    </row>
    <row r="2794" spans="1:11" x14ac:dyDescent="0.2">
      <c r="A2794">
        <v>1.8691844549063301E-69</v>
      </c>
      <c r="B2794">
        <v>1.50413737252388</v>
      </c>
      <c r="C2794">
        <v>0.82099999999999995</v>
      </c>
      <c r="D2794">
        <v>0.27200000000000002</v>
      </c>
      <c r="E2794">
        <v>2.8940582915314701E-65</v>
      </c>
      <c r="F2794">
        <v>7</v>
      </c>
      <c r="G2794" t="s">
        <v>5881</v>
      </c>
      <c r="H2794" t="s">
        <v>5882</v>
      </c>
      <c r="I2794" t="s">
        <v>5881</v>
      </c>
      <c r="J2794" s="1" t="str">
        <f>HYPERLINK("https://zfin.org/")</f>
        <v>https://zfin.org/</v>
      </c>
    </row>
    <row r="2795" spans="1:11" x14ac:dyDescent="0.2">
      <c r="A2795">
        <v>2.42521193943E-69</v>
      </c>
      <c r="B2795">
        <v>1.3008708815079799</v>
      </c>
      <c r="C2795">
        <v>0.52500000000000002</v>
      </c>
      <c r="D2795">
        <v>7.1999999999999995E-2</v>
      </c>
      <c r="E2795">
        <v>3.75495564581947E-65</v>
      </c>
      <c r="F2795">
        <v>7</v>
      </c>
      <c r="G2795" t="s">
        <v>5910</v>
      </c>
      <c r="H2795" t="s">
        <v>5911</v>
      </c>
      <c r="I2795" t="s">
        <v>5910</v>
      </c>
      <c r="J2795" s="1" t="str">
        <f>HYPERLINK("https://zfin.org/ZDB-GENE-070820-6")</f>
        <v>https://zfin.org/ZDB-GENE-070820-6</v>
      </c>
      <c r="K2795" t="s">
        <v>5912</v>
      </c>
    </row>
    <row r="2796" spans="1:11" x14ac:dyDescent="0.2">
      <c r="A2796">
        <v>1.31555368141468E-65</v>
      </c>
      <c r="B2796">
        <v>0.90599000003021501</v>
      </c>
      <c r="C2796">
        <v>1</v>
      </c>
      <c r="D2796">
        <v>1</v>
      </c>
      <c r="E2796">
        <v>2.0368717649343501E-61</v>
      </c>
      <c r="F2796">
        <v>7</v>
      </c>
      <c r="G2796" t="s">
        <v>863</v>
      </c>
      <c r="H2796" t="s">
        <v>864</v>
      </c>
      <c r="I2796" t="s">
        <v>863</v>
      </c>
      <c r="J2796" s="1" t="str">
        <f>HYPERLINK("https://zfin.org/ZDB-GENE-130603-61")</f>
        <v>https://zfin.org/ZDB-GENE-130603-61</v>
      </c>
      <c r="K2796" t="s">
        <v>865</v>
      </c>
    </row>
    <row r="2797" spans="1:11" x14ac:dyDescent="0.2">
      <c r="A2797">
        <v>6.2445558308840003E-65</v>
      </c>
      <c r="B2797">
        <v>1.2031174899796799</v>
      </c>
      <c r="C2797">
        <v>0.95499999999999996</v>
      </c>
      <c r="D2797">
        <v>0.47699999999999998</v>
      </c>
      <c r="E2797">
        <v>9.6684457929576901E-61</v>
      </c>
      <c r="F2797">
        <v>7</v>
      </c>
      <c r="G2797" t="s">
        <v>2681</v>
      </c>
      <c r="H2797" t="s">
        <v>2682</v>
      </c>
      <c r="I2797" t="s">
        <v>2681</v>
      </c>
      <c r="J2797" s="1" t="str">
        <f>HYPERLINK("https://zfin.org/ZDB-GENE-030131-2159")</f>
        <v>https://zfin.org/ZDB-GENE-030131-2159</v>
      </c>
      <c r="K2797" t="s">
        <v>2683</v>
      </c>
    </row>
    <row r="2798" spans="1:11" x14ac:dyDescent="0.2">
      <c r="A2798">
        <v>1.8773842459834799E-63</v>
      </c>
      <c r="B2798">
        <v>0.94622674644788696</v>
      </c>
      <c r="C2798">
        <v>0.41899999999999998</v>
      </c>
      <c r="D2798">
        <v>4.4999999999999998E-2</v>
      </c>
      <c r="E2798">
        <v>2.9067540280562198E-59</v>
      </c>
      <c r="F2798">
        <v>7</v>
      </c>
      <c r="G2798" t="s">
        <v>5913</v>
      </c>
      <c r="H2798" t="s">
        <v>5914</v>
      </c>
      <c r="I2798" t="s">
        <v>5913</v>
      </c>
      <c r="J2798" s="1" t="str">
        <f>HYPERLINK("https://zfin.org/ZDB-GENE-070424-1")</f>
        <v>https://zfin.org/ZDB-GENE-070424-1</v>
      </c>
      <c r="K2798" t="s">
        <v>5915</v>
      </c>
    </row>
    <row r="2799" spans="1:11" x14ac:dyDescent="0.2">
      <c r="A2799">
        <v>1.7751224961186501E-61</v>
      </c>
      <c r="B2799">
        <v>0.92092909057180194</v>
      </c>
      <c r="C2799">
        <v>0.43</v>
      </c>
      <c r="D2799">
        <v>0.05</v>
      </c>
      <c r="E2799">
        <v>2.7484221607404999E-57</v>
      </c>
      <c r="F2799">
        <v>7</v>
      </c>
      <c r="G2799" t="s">
        <v>5916</v>
      </c>
      <c r="H2799" t="s">
        <v>5917</v>
      </c>
      <c r="I2799" t="s">
        <v>5916</v>
      </c>
      <c r="J2799" s="1" t="str">
        <f>HYPERLINK("https://zfin.org/ZDB-GENE-080215-10")</f>
        <v>https://zfin.org/ZDB-GENE-080215-10</v>
      </c>
      <c r="K2799" t="s">
        <v>5918</v>
      </c>
    </row>
    <row r="2800" spans="1:11" x14ac:dyDescent="0.2">
      <c r="A2800">
        <v>2.7620260901930299E-59</v>
      </c>
      <c r="B2800">
        <v>1.0500411551814699</v>
      </c>
      <c r="C2800">
        <v>0.33</v>
      </c>
      <c r="D2800">
        <v>2.5000000000000001E-2</v>
      </c>
      <c r="E2800">
        <v>4.2764449954458696E-55</v>
      </c>
      <c r="F2800">
        <v>7</v>
      </c>
      <c r="G2800" t="s">
        <v>5919</v>
      </c>
      <c r="H2800" t="s">
        <v>5920</v>
      </c>
      <c r="I2800" t="s">
        <v>5919</v>
      </c>
      <c r="J2800" s="1" t="str">
        <f>HYPERLINK("https://zfin.org/ZDB-GENE-000627-1")</f>
        <v>https://zfin.org/ZDB-GENE-000627-1</v>
      </c>
      <c r="K2800" t="s">
        <v>5921</v>
      </c>
    </row>
    <row r="2801" spans="1:11" x14ac:dyDescent="0.2">
      <c r="A2801">
        <v>6.4009976952699397E-56</v>
      </c>
      <c r="B2801">
        <v>1.0722815908149701</v>
      </c>
      <c r="C2801">
        <v>0.68700000000000006</v>
      </c>
      <c r="D2801">
        <v>0.18</v>
      </c>
      <c r="E2801">
        <v>9.9106647315864506E-52</v>
      </c>
      <c r="F2801">
        <v>7</v>
      </c>
      <c r="G2801" t="s">
        <v>5922</v>
      </c>
      <c r="H2801" t="s">
        <v>5923</v>
      </c>
      <c r="I2801" t="s">
        <v>5922</v>
      </c>
      <c r="J2801" s="1" t="str">
        <f>HYPERLINK("https://zfin.org/ZDB-GENE-070705-193")</f>
        <v>https://zfin.org/ZDB-GENE-070705-193</v>
      </c>
      <c r="K2801" t="s">
        <v>5924</v>
      </c>
    </row>
    <row r="2802" spans="1:11" x14ac:dyDescent="0.2">
      <c r="A2802">
        <v>2.12635741950492E-54</v>
      </c>
      <c r="B2802">
        <v>1.11573699845404</v>
      </c>
      <c r="C2802">
        <v>0.497</v>
      </c>
      <c r="D2802">
        <v>8.7999999999999995E-2</v>
      </c>
      <c r="E2802">
        <v>3.29223919261946E-50</v>
      </c>
      <c r="F2802">
        <v>7</v>
      </c>
      <c r="G2802" t="s">
        <v>5925</v>
      </c>
      <c r="H2802" t="s">
        <v>5926</v>
      </c>
      <c r="I2802" t="s">
        <v>5925</v>
      </c>
      <c r="J2802" s="1" t="str">
        <f>HYPERLINK("https://zfin.org/ZDB-GENE-100921-8")</f>
        <v>https://zfin.org/ZDB-GENE-100921-8</v>
      </c>
      <c r="K2802" t="s">
        <v>5927</v>
      </c>
    </row>
    <row r="2803" spans="1:11" x14ac:dyDescent="0.2">
      <c r="A2803">
        <v>1.1723177433352699E-53</v>
      </c>
      <c r="B2803">
        <v>1.19368370754631</v>
      </c>
      <c r="C2803">
        <v>0.754</v>
      </c>
      <c r="D2803">
        <v>0.249</v>
      </c>
      <c r="E2803">
        <v>1.8150995620060001E-49</v>
      </c>
      <c r="F2803">
        <v>7</v>
      </c>
      <c r="G2803" t="s">
        <v>1321</v>
      </c>
      <c r="H2803" t="s">
        <v>1322</v>
      </c>
      <c r="I2803" t="s">
        <v>1321</v>
      </c>
      <c r="J2803" s="1" t="str">
        <f>HYPERLINK("https://zfin.org/ZDB-GENE-040801-218")</f>
        <v>https://zfin.org/ZDB-GENE-040801-218</v>
      </c>
      <c r="K2803" t="s">
        <v>1323</v>
      </c>
    </row>
    <row r="2804" spans="1:11" x14ac:dyDescent="0.2">
      <c r="A2804">
        <v>4.81879193401451E-53</v>
      </c>
      <c r="B2804">
        <v>1.0292789992889699</v>
      </c>
      <c r="C2804">
        <v>0.68200000000000005</v>
      </c>
      <c r="D2804">
        <v>0.192</v>
      </c>
      <c r="E2804">
        <v>7.46093555143467E-49</v>
      </c>
      <c r="F2804">
        <v>7</v>
      </c>
      <c r="G2804" t="s">
        <v>5928</v>
      </c>
      <c r="H2804" t="s">
        <v>5929</v>
      </c>
      <c r="I2804" t="s">
        <v>5928</v>
      </c>
      <c r="J2804" s="1" t="str">
        <f>HYPERLINK("https://zfin.org/ZDB-GENE-030131-9149")</f>
        <v>https://zfin.org/ZDB-GENE-030131-9149</v>
      </c>
      <c r="K2804" t="s">
        <v>5930</v>
      </c>
    </row>
    <row r="2805" spans="1:11" x14ac:dyDescent="0.2">
      <c r="A2805">
        <v>2.1576603458157799E-51</v>
      </c>
      <c r="B2805">
        <v>1.03104229662267</v>
      </c>
      <c r="C2805">
        <v>1</v>
      </c>
      <c r="D2805">
        <v>0.93100000000000005</v>
      </c>
      <c r="E2805">
        <v>3.3407055134265702E-47</v>
      </c>
      <c r="F2805">
        <v>7</v>
      </c>
      <c r="G2805" t="s">
        <v>2981</v>
      </c>
      <c r="H2805" t="s">
        <v>2982</v>
      </c>
      <c r="I2805" t="s">
        <v>2981</v>
      </c>
      <c r="J2805" s="1" t="str">
        <f>HYPERLINK("https://zfin.org/ZDB-GENE-121214-193")</f>
        <v>https://zfin.org/ZDB-GENE-121214-193</v>
      </c>
      <c r="K2805" t="s">
        <v>2983</v>
      </c>
    </row>
    <row r="2806" spans="1:11" x14ac:dyDescent="0.2">
      <c r="A2806">
        <v>3.242341324811E-50</v>
      </c>
      <c r="B2806">
        <v>0.87969806883205903</v>
      </c>
      <c r="C2806">
        <v>1</v>
      </c>
      <c r="D2806">
        <v>0.91500000000000004</v>
      </c>
      <c r="E2806">
        <v>5.02011707320488E-46</v>
      </c>
      <c r="F2806">
        <v>7</v>
      </c>
      <c r="G2806" t="s">
        <v>1447</v>
      </c>
      <c r="H2806" t="s">
        <v>1448</v>
      </c>
      <c r="I2806" t="s">
        <v>1447</v>
      </c>
      <c r="J2806" s="1" t="str">
        <f>HYPERLINK("https://zfin.org/ZDB-GENE-040426-1508")</f>
        <v>https://zfin.org/ZDB-GENE-040426-1508</v>
      </c>
      <c r="K2806" t="s">
        <v>1449</v>
      </c>
    </row>
    <row r="2807" spans="1:11" x14ac:dyDescent="0.2">
      <c r="A2807">
        <v>5.7728698649927496E-50</v>
      </c>
      <c r="B2807">
        <v>0.71754260202262299</v>
      </c>
      <c r="C2807">
        <v>0.27900000000000003</v>
      </c>
      <c r="D2807">
        <v>0.02</v>
      </c>
      <c r="E2807">
        <v>8.9381344119682797E-46</v>
      </c>
      <c r="F2807">
        <v>7</v>
      </c>
      <c r="G2807" t="s">
        <v>5931</v>
      </c>
      <c r="H2807" t="s">
        <v>5932</v>
      </c>
      <c r="I2807" t="s">
        <v>5931</v>
      </c>
      <c r="J2807" s="1" t="str">
        <f>HYPERLINK("https://zfin.org/ZDB-GENE-070112-2242")</f>
        <v>https://zfin.org/ZDB-GENE-070112-2242</v>
      </c>
      <c r="K2807" t="s">
        <v>5933</v>
      </c>
    </row>
    <row r="2808" spans="1:11" x14ac:dyDescent="0.2">
      <c r="A2808">
        <v>5.7956837686136898E-50</v>
      </c>
      <c r="B2808">
        <v>0.68658699527822498</v>
      </c>
      <c r="C2808">
        <v>0.29099999999999998</v>
      </c>
      <c r="D2808">
        <v>2.3E-2</v>
      </c>
      <c r="E2808">
        <v>8.9734571789445803E-46</v>
      </c>
      <c r="F2808">
        <v>7</v>
      </c>
      <c r="G2808" t="s">
        <v>5934</v>
      </c>
      <c r="H2808" t="s">
        <v>5935</v>
      </c>
      <c r="I2808" t="s">
        <v>5934</v>
      </c>
      <c r="J2808" s="1" t="str">
        <f>HYPERLINK("https://zfin.org/ZDB-GENE-980526-260")</f>
        <v>https://zfin.org/ZDB-GENE-980526-260</v>
      </c>
      <c r="K2808" t="s">
        <v>5936</v>
      </c>
    </row>
    <row r="2809" spans="1:11" x14ac:dyDescent="0.2">
      <c r="A2809">
        <v>9.39635781687898E-48</v>
      </c>
      <c r="B2809">
        <v>0.72828954576627303</v>
      </c>
      <c r="C2809">
        <v>0.41299999999999998</v>
      </c>
      <c r="D2809">
        <v>0.06</v>
      </c>
      <c r="E2809">
        <v>1.4548380807873701E-43</v>
      </c>
      <c r="F2809">
        <v>7</v>
      </c>
      <c r="G2809" t="s">
        <v>5937</v>
      </c>
      <c r="H2809" t="s">
        <v>5938</v>
      </c>
      <c r="I2809" t="s">
        <v>5937</v>
      </c>
      <c r="J2809" s="1" t="str">
        <f>HYPERLINK("https://zfin.org/ZDB-GENE-050417-409")</f>
        <v>https://zfin.org/ZDB-GENE-050417-409</v>
      </c>
      <c r="K2809" t="s">
        <v>5939</v>
      </c>
    </row>
    <row r="2810" spans="1:11" x14ac:dyDescent="0.2">
      <c r="A2810">
        <v>1.36985571732463E-46</v>
      </c>
      <c r="B2810">
        <v>0.90572633697761196</v>
      </c>
      <c r="C2810">
        <v>0.98299999999999998</v>
      </c>
      <c r="D2810">
        <v>0.79700000000000004</v>
      </c>
      <c r="E2810">
        <v>2.1209476071337299E-42</v>
      </c>
      <c r="F2810">
        <v>7</v>
      </c>
      <c r="G2810" t="s">
        <v>1814</v>
      </c>
      <c r="H2810" t="s">
        <v>1815</v>
      </c>
      <c r="I2810" t="s">
        <v>1814</v>
      </c>
      <c r="J2810" s="1" t="str">
        <f>HYPERLINK("https://zfin.org/ZDB-GENE-050522-73")</f>
        <v>https://zfin.org/ZDB-GENE-050522-73</v>
      </c>
      <c r="K2810" t="s">
        <v>1816</v>
      </c>
    </row>
    <row r="2811" spans="1:11" x14ac:dyDescent="0.2">
      <c r="A2811">
        <v>9.3134308001770599E-46</v>
      </c>
      <c r="B2811">
        <v>1.0640347376119901</v>
      </c>
      <c r="C2811">
        <v>0.59799999999999998</v>
      </c>
      <c r="D2811">
        <v>0.158</v>
      </c>
      <c r="E2811">
        <v>1.44199849079141E-41</v>
      </c>
      <c r="F2811">
        <v>7</v>
      </c>
      <c r="G2811" t="s">
        <v>5940</v>
      </c>
      <c r="H2811" t="s">
        <v>5941</v>
      </c>
      <c r="I2811" t="s">
        <v>5940</v>
      </c>
      <c r="J2811" s="1" t="str">
        <f>HYPERLINK("https://zfin.org/ZDB-GENE-131121-141")</f>
        <v>https://zfin.org/ZDB-GENE-131121-141</v>
      </c>
      <c r="K2811" t="s">
        <v>5942</v>
      </c>
    </row>
    <row r="2812" spans="1:11" x14ac:dyDescent="0.2">
      <c r="A2812">
        <v>9.1936519336131692E-44</v>
      </c>
      <c r="B2812">
        <v>0.96247430429959802</v>
      </c>
      <c r="C2812">
        <v>0.441</v>
      </c>
      <c r="D2812">
        <v>8.4000000000000005E-2</v>
      </c>
      <c r="E2812">
        <v>1.4234531288813299E-39</v>
      </c>
      <c r="F2812">
        <v>7</v>
      </c>
      <c r="G2812" t="s">
        <v>5943</v>
      </c>
      <c r="H2812" t="s">
        <v>5944</v>
      </c>
      <c r="I2812" t="s">
        <v>5943</v>
      </c>
      <c r="J2812" s="1" t="str">
        <f>HYPERLINK("https://zfin.org/ZDB-GENE-110718-2")</f>
        <v>https://zfin.org/ZDB-GENE-110718-2</v>
      </c>
      <c r="K2812" t="s">
        <v>5945</v>
      </c>
    </row>
    <row r="2813" spans="1:11" x14ac:dyDescent="0.2">
      <c r="A2813">
        <v>1.6746553483067301E-41</v>
      </c>
      <c r="B2813">
        <v>0.67473843138814404</v>
      </c>
      <c r="C2813">
        <v>0.251</v>
      </c>
      <c r="D2813">
        <v>2.1999999999999999E-2</v>
      </c>
      <c r="E2813">
        <v>2.5928688757833199E-37</v>
      </c>
      <c r="F2813">
        <v>7</v>
      </c>
      <c r="G2813" t="s">
        <v>5946</v>
      </c>
      <c r="H2813" t="s">
        <v>5947</v>
      </c>
      <c r="I2813" t="s">
        <v>5946</v>
      </c>
      <c r="J2813" s="1" t="str">
        <f>HYPERLINK("https://zfin.org/ZDB-GENE-070620-8")</f>
        <v>https://zfin.org/ZDB-GENE-070620-8</v>
      </c>
      <c r="K2813" t="s">
        <v>5948</v>
      </c>
    </row>
    <row r="2814" spans="1:11" x14ac:dyDescent="0.2">
      <c r="A2814">
        <v>2.5566391458272598E-40</v>
      </c>
      <c r="B2814">
        <v>0.70481866067677901</v>
      </c>
      <c r="C2814">
        <v>0.32400000000000001</v>
      </c>
      <c r="D2814">
        <v>4.3999999999999997E-2</v>
      </c>
      <c r="E2814">
        <v>3.9584443894843501E-36</v>
      </c>
      <c r="F2814">
        <v>7</v>
      </c>
      <c r="G2814" t="s">
        <v>5949</v>
      </c>
      <c r="H2814" t="s">
        <v>5950</v>
      </c>
      <c r="I2814" t="s">
        <v>5949</v>
      </c>
      <c r="J2814" s="1" t="str">
        <f>HYPERLINK("https://zfin.org/ZDB-GENE-111004-2")</f>
        <v>https://zfin.org/ZDB-GENE-111004-2</v>
      </c>
      <c r="K2814" t="s">
        <v>5951</v>
      </c>
    </row>
    <row r="2815" spans="1:11" x14ac:dyDescent="0.2">
      <c r="A2815">
        <v>3.1060031325041899E-38</v>
      </c>
      <c r="B2815">
        <v>1.0635944017254499</v>
      </c>
      <c r="C2815">
        <v>0.82099999999999995</v>
      </c>
      <c r="D2815">
        <v>0.40400000000000003</v>
      </c>
      <c r="E2815">
        <v>4.8090246500562402E-34</v>
      </c>
      <c r="F2815">
        <v>7</v>
      </c>
      <c r="G2815" t="s">
        <v>3326</v>
      </c>
      <c r="H2815" t="s">
        <v>3327</v>
      </c>
      <c r="I2815" t="s">
        <v>3326</v>
      </c>
      <c r="J2815" s="1" t="str">
        <f>HYPERLINK("https://zfin.org/ZDB-GENE-080829-12")</f>
        <v>https://zfin.org/ZDB-GENE-080829-12</v>
      </c>
      <c r="K2815" t="s">
        <v>3328</v>
      </c>
    </row>
    <row r="2816" spans="1:11" x14ac:dyDescent="0.2">
      <c r="A2816">
        <v>2.5815499031257199E-37</v>
      </c>
      <c r="B2816">
        <v>0.59869110327330699</v>
      </c>
      <c r="C2816">
        <v>0.218</v>
      </c>
      <c r="D2816">
        <v>1.7000000000000001E-2</v>
      </c>
      <c r="E2816">
        <v>3.9970137150095601E-33</v>
      </c>
      <c r="F2816">
        <v>7</v>
      </c>
      <c r="G2816" t="s">
        <v>5952</v>
      </c>
      <c r="H2816" t="s">
        <v>5953</v>
      </c>
      <c r="I2816" t="s">
        <v>5952</v>
      </c>
      <c r="J2816" s="1" t="str">
        <f>HYPERLINK("https://zfin.org/ZDB-GENE-040801-217")</f>
        <v>https://zfin.org/ZDB-GENE-040801-217</v>
      </c>
      <c r="K2816" t="s">
        <v>5954</v>
      </c>
    </row>
    <row r="2817" spans="1:11" x14ac:dyDescent="0.2">
      <c r="A2817">
        <v>2.8736641410070602E-35</v>
      </c>
      <c r="B2817">
        <v>0.89401902802982203</v>
      </c>
      <c r="C2817">
        <v>0.67</v>
      </c>
      <c r="D2817">
        <v>0.252</v>
      </c>
      <c r="E2817">
        <v>4.4492941895212296E-31</v>
      </c>
      <c r="F2817">
        <v>7</v>
      </c>
      <c r="G2817" t="s">
        <v>5955</v>
      </c>
      <c r="H2817" t="s">
        <v>5956</v>
      </c>
      <c r="I2817" t="s">
        <v>5955</v>
      </c>
      <c r="J2817" s="1" t="str">
        <f>HYPERLINK("https://zfin.org/ZDB-GENE-041210-181")</f>
        <v>https://zfin.org/ZDB-GENE-041210-181</v>
      </c>
      <c r="K2817" t="s">
        <v>5957</v>
      </c>
    </row>
    <row r="2818" spans="1:11" x14ac:dyDescent="0.2">
      <c r="A2818">
        <v>4.6794173702064099E-35</v>
      </c>
      <c r="B2818">
        <v>0.87404862316024801</v>
      </c>
      <c r="C2818">
        <v>0.86599999999999999</v>
      </c>
      <c r="D2818">
        <v>0.51300000000000001</v>
      </c>
      <c r="E2818">
        <v>7.2451419142905902E-31</v>
      </c>
      <c r="F2818">
        <v>7</v>
      </c>
      <c r="G2818" t="s">
        <v>2210</v>
      </c>
      <c r="H2818" t="s">
        <v>2211</v>
      </c>
      <c r="I2818" t="s">
        <v>2210</v>
      </c>
      <c r="J2818" s="1" t="str">
        <f>HYPERLINK("https://zfin.org/")</f>
        <v>https://zfin.org/</v>
      </c>
    </row>
    <row r="2819" spans="1:11" x14ac:dyDescent="0.2">
      <c r="A2819">
        <v>7.0925292684347698E-35</v>
      </c>
      <c r="B2819">
        <v>0.79303494387199303</v>
      </c>
      <c r="C2819">
        <v>0.89400000000000002</v>
      </c>
      <c r="D2819">
        <v>0.54600000000000004</v>
      </c>
      <c r="E2819">
        <v>1.09813630663176E-30</v>
      </c>
      <c r="F2819">
        <v>7</v>
      </c>
      <c r="G2819" t="s">
        <v>2458</v>
      </c>
      <c r="H2819" t="s">
        <v>2459</v>
      </c>
      <c r="I2819" t="s">
        <v>2458</v>
      </c>
      <c r="J2819" s="1" t="str">
        <f>HYPERLINK("https://zfin.org/ZDB-GENE-060126-3")</f>
        <v>https://zfin.org/ZDB-GENE-060126-3</v>
      </c>
      <c r="K2819" t="s">
        <v>2460</v>
      </c>
    </row>
    <row r="2820" spans="1:11" x14ac:dyDescent="0.2">
      <c r="A2820">
        <v>8.2027422746689206E-34</v>
      </c>
      <c r="B2820">
        <v>0.47669059779870399</v>
      </c>
      <c r="C2820">
        <v>0.151</v>
      </c>
      <c r="D2820">
        <v>6.0000000000000001E-3</v>
      </c>
      <c r="E2820">
        <v>1.27003058638699E-29</v>
      </c>
      <c r="F2820">
        <v>7</v>
      </c>
      <c r="G2820" t="s">
        <v>5958</v>
      </c>
      <c r="H2820" t="s">
        <v>5959</v>
      </c>
      <c r="I2820" t="s">
        <v>5958</v>
      </c>
      <c r="J2820" s="1" t="str">
        <f>HYPERLINK("https://zfin.org/ZDB-GENE-081022-193")</f>
        <v>https://zfin.org/ZDB-GENE-081022-193</v>
      </c>
      <c r="K2820" t="s">
        <v>5960</v>
      </c>
    </row>
    <row r="2821" spans="1:11" x14ac:dyDescent="0.2">
      <c r="A2821">
        <v>1.1106560152695799E-32</v>
      </c>
      <c r="B2821">
        <v>0.89284578437614004</v>
      </c>
      <c r="C2821">
        <v>0.86</v>
      </c>
      <c r="D2821">
        <v>0.47899999999999998</v>
      </c>
      <c r="E2821">
        <v>1.7196287084418799E-28</v>
      </c>
      <c r="F2821">
        <v>7</v>
      </c>
      <c r="G2821" t="s">
        <v>5961</v>
      </c>
      <c r="H2821" t="s">
        <v>5962</v>
      </c>
      <c r="I2821" t="s">
        <v>5961</v>
      </c>
      <c r="J2821" s="1" t="str">
        <f>HYPERLINK("https://zfin.org/ZDB-GENE-070424-74")</f>
        <v>https://zfin.org/ZDB-GENE-070424-74</v>
      </c>
      <c r="K2821" t="s">
        <v>5963</v>
      </c>
    </row>
    <row r="2822" spans="1:11" x14ac:dyDescent="0.2">
      <c r="A2822">
        <v>4.6202938321386899E-32</v>
      </c>
      <c r="B2822">
        <v>1.1031323911745701</v>
      </c>
      <c r="C2822">
        <v>0.626</v>
      </c>
      <c r="D2822">
        <v>0.247</v>
      </c>
      <c r="E2822">
        <v>7.1536009403003401E-28</v>
      </c>
      <c r="F2822">
        <v>7</v>
      </c>
      <c r="G2822" t="s">
        <v>5964</v>
      </c>
      <c r="H2822" t="s">
        <v>5965</v>
      </c>
      <c r="I2822" t="s">
        <v>5964</v>
      </c>
      <c r="J2822" s="1" t="str">
        <f>HYPERLINK("https://zfin.org/ZDB-GENE-040704-31")</f>
        <v>https://zfin.org/ZDB-GENE-040704-31</v>
      </c>
      <c r="K2822" t="s">
        <v>5966</v>
      </c>
    </row>
    <row r="2823" spans="1:11" x14ac:dyDescent="0.2">
      <c r="A2823">
        <v>7.8841008259053099E-32</v>
      </c>
      <c r="B2823">
        <v>0.91474032783750003</v>
      </c>
      <c r="C2823">
        <v>0.81</v>
      </c>
      <c r="D2823">
        <v>0.41899999999999998</v>
      </c>
      <c r="E2823">
        <v>1.2206953308749201E-27</v>
      </c>
      <c r="F2823">
        <v>7</v>
      </c>
      <c r="G2823" t="s">
        <v>2853</v>
      </c>
      <c r="H2823" t="s">
        <v>2854</v>
      </c>
      <c r="I2823" t="s">
        <v>2853</v>
      </c>
      <c r="J2823" s="1" t="str">
        <f>HYPERLINK("https://zfin.org/ZDB-GENE-020910-1")</f>
        <v>https://zfin.org/ZDB-GENE-020910-1</v>
      </c>
      <c r="K2823" t="s">
        <v>2855</v>
      </c>
    </row>
    <row r="2824" spans="1:11" x14ac:dyDescent="0.2">
      <c r="A2824">
        <v>8.9499339533755702E-32</v>
      </c>
      <c r="B2824">
        <v>0.84936441475357205</v>
      </c>
      <c r="C2824">
        <v>0.754</v>
      </c>
      <c r="D2824">
        <v>0.33900000000000002</v>
      </c>
      <c r="E2824">
        <v>1.3857182740011399E-27</v>
      </c>
      <c r="F2824">
        <v>7</v>
      </c>
      <c r="G2824" t="s">
        <v>3170</v>
      </c>
      <c r="H2824" t="s">
        <v>3171</v>
      </c>
      <c r="I2824" t="s">
        <v>3170</v>
      </c>
      <c r="J2824" s="1" t="str">
        <f>HYPERLINK("https://zfin.org/ZDB-GENE-090915-6")</f>
        <v>https://zfin.org/ZDB-GENE-090915-6</v>
      </c>
      <c r="K2824" t="s">
        <v>3172</v>
      </c>
    </row>
    <row r="2825" spans="1:11" x14ac:dyDescent="0.2">
      <c r="A2825">
        <v>7.7446611979957805E-29</v>
      </c>
      <c r="B2825">
        <v>0.81249794392173402</v>
      </c>
      <c r="C2825">
        <v>0.69799999999999995</v>
      </c>
      <c r="D2825">
        <v>0.308</v>
      </c>
      <c r="E2825">
        <v>1.1991058932856901E-24</v>
      </c>
      <c r="F2825">
        <v>7</v>
      </c>
      <c r="G2825" t="s">
        <v>5967</v>
      </c>
      <c r="H2825" t="s">
        <v>5968</v>
      </c>
      <c r="I2825" t="s">
        <v>5967</v>
      </c>
      <c r="J2825" s="1" t="str">
        <f>HYPERLINK("https://zfin.org/ZDB-GENE-120215-253")</f>
        <v>https://zfin.org/ZDB-GENE-120215-253</v>
      </c>
      <c r="K2825" t="s">
        <v>5969</v>
      </c>
    </row>
    <row r="2826" spans="1:11" x14ac:dyDescent="0.2">
      <c r="A2826">
        <v>3.90022288960441E-28</v>
      </c>
      <c r="B2826">
        <v>0.72641993569343399</v>
      </c>
      <c r="C2826">
        <v>0.82699999999999996</v>
      </c>
      <c r="D2826">
        <v>0.48899999999999999</v>
      </c>
      <c r="E2826">
        <v>6.0387150999745098E-24</v>
      </c>
      <c r="F2826">
        <v>7</v>
      </c>
      <c r="G2826" t="s">
        <v>2975</v>
      </c>
      <c r="H2826" t="s">
        <v>2976</v>
      </c>
      <c r="I2826" t="s">
        <v>2975</v>
      </c>
      <c r="J2826" s="1" t="str">
        <f>HYPERLINK("https://zfin.org/ZDB-GENE-030131-9")</f>
        <v>https://zfin.org/ZDB-GENE-030131-9</v>
      </c>
      <c r="K2826" t="s">
        <v>2977</v>
      </c>
    </row>
    <row r="2827" spans="1:11" x14ac:dyDescent="0.2">
      <c r="A2827">
        <v>6.0842848714782297E-28</v>
      </c>
      <c r="B2827">
        <v>0.68409388886571698</v>
      </c>
      <c r="C2827">
        <v>0.58099999999999996</v>
      </c>
      <c r="D2827">
        <v>0.20899999999999999</v>
      </c>
      <c r="E2827">
        <v>9.4202982665097506E-24</v>
      </c>
      <c r="F2827">
        <v>7</v>
      </c>
      <c r="G2827" t="s">
        <v>5970</v>
      </c>
      <c r="H2827" t="s">
        <v>5971</v>
      </c>
      <c r="I2827" t="s">
        <v>5970</v>
      </c>
      <c r="J2827" s="1" t="str">
        <f>HYPERLINK("https://zfin.org/ZDB-GENE-041130-1")</f>
        <v>https://zfin.org/ZDB-GENE-041130-1</v>
      </c>
      <c r="K2827" t="s">
        <v>5972</v>
      </c>
    </row>
    <row r="2828" spans="1:11" x14ac:dyDescent="0.2">
      <c r="A2828">
        <v>9.6122754609266607E-28</v>
      </c>
      <c r="B2828">
        <v>0.59141614939070997</v>
      </c>
      <c r="C2828">
        <v>0.28499999999999998</v>
      </c>
      <c r="D2828">
        <v>5.0999999999999997E-2</v>
      </c>
      <c r="E2828">
        <v>1.4882686096152699E-23</v>
      </c>
      <c r="F2828">
        <v>7</v>
      </c>
      <c r="G2828" t="s">
        <v>5973</v>
      </c>
      <c r="H2828" t="s">
        <v>5974</v>
      </c>
      <c r="I2828" t="s">
        <v>5973</v>
      </c>
      <c r="J2828" s="1" t="str">
        <f>HYPERLINK("https://zfin.org/ZDB-GENE-030131-7209")</f>
        <v>https://zfin.org/ZDB-GENE-030131-7209</v>
      </c>
      <c r="K2828" t="s">
        <v>5975</v>
      </c>
    </row>
    <row r="2829" spans="1:11" x14ac:dyDescent="0.2">
      <c r="A2829">
        <v>1.34618128117197E-27</v>
      </c>
      <c r="B2829">
        <v>0.71257224684319198</v>
      </c>
      <c r="C2829">
        <v>0.218</v>
      </c>
      <c r="D2829">
        <v>2.9000000000000001E-2</v>
      </c>
      <c r="E2829">
        <v>2.08429247763856E-23</v>
      </c>
      <c r="F2829">
        <v>7</v>
      </c>
      <c r="G2829" t="s">
        <v>5976</v>
      </c>
      <c r="H2829" t="s">
        <v>5977</v>
      </c>
      <c r="I2829" t="s">
        <v>5976</v>
      </c>
      <c r="J2829" s="1" t="str">
        <f>HYPERLINK("https://zfin.org/ZDB-GENE-991110-22")</f>
        <v>https://zfin.org/ZDB-GENE-991110-22</v>
      </c>
      <c r="K2829" t="s">
        <v>5978</v>
      </c>
    </row>
    <row r="2830" spans="1:11" x14ac:dyDescent="0.2">
      <c r="A2830">
        <v>9.0374311689825497E-27</v>
      </c>
      <c r="B2830">
        <v>0.64993263811269997</v>
      </c>
      <c r="C2830">
        <v>0.63100000000000001</v>
      </c>
      <c r="D2830">
        <v>0.24399999999999999</v>
      </c>
      <c r="E2830">
        <v>1.3992654678935699E-22</v>
      </c>
      <c r="F2830">
        <v>7</v>
      </c>
      <c r="G2830" t="s">
        <v>5867</v>
      </c>
      <c r="H2830" t="s">
        <v>5868</v>
      </c>
      <c r="I2830" t="s">
        <v>5867</v>
      </c>
      <c r="J2830" s="1" t="str">
        <f>HYPERLINK("https://zfin.org/")</f>
        <v>https://zfin.org/</v>
      </c>
    </row>
    <row r="2831" spans="1:11" x14ac:dyDescent="0.2">
      <c r="A2831">
        <v>5.4404642642835701E-26</v>
      </c>
      <c r="B2831">
        <v>0.688816209166906</v>
      </c>
      <c r="C2831">
        <v>0.34599999999999997</v>
      </c>
      <c r="D2831">
        <v>8.3000000000000004E-2</v>
      </c>
      <c r="E2831">
        <v>8.4234708203902496E-22</v>
      </c>
      <c r="F2831">
        <v>7</v>
      </c>
      <c r="G2831" t="s">
        <v>5979</v>
      </c>
      <c r="H2831" t="s">
        <v>5980</v>
      </c>
      <c r="I2831" t="s">
        <v>5979</v>
      </c>
      <c r="J2831" s="1" t="str">
        <f>HYPERLINK("https://zfin.org/ZDB-GENE-030131-5767")</f>
        <v>https://zfin.org/ZDB-GENE-030131-5767</v>
      </c>
      <c r="K2831" t="s">
        <v>5981</v>
      </c>
    </row>
    <row r="2832" spans="1:11" x14ac:dyDescent="0.2">
      <c r="A2832">
        <v>3.1985975020685498E-25</v>
      </c>
      <c r="B2832">
        <v>0.82803264069925997</v>
      </c>
      <c r="C2832">
        <v>0.76</v>
      </c>
      <c r="D2832">
        <v>0.503</v>
      </c>
      <c r="E2832">
        <v>4.9523885124527396E-21</v>
      </c>
      <c r="F2832">
        <v>7</v>
      </c>
      <c r="G2832" t="s">
        <v>5982</v>
      </c>
      <c r="H2832" t="s">
        <v>5983</v>
      </c>
      <c r="I2832" t="s">
        <v>5982</v>
      </c>
      <c r="J2832" s="1" t="str">
        <f>HYPERLINK("https://zfin.org/ZDB-GENE-030428-2")</f>
        <v>https://zfin.org/ZDB-GENE-030428-2</v>
      </c>
      <c r="K2832" t="s">
        <v>5984</v>
      </c>
    </row>
    <row r="2833" spans="1:11" x14ac:dyDescent="0.2">
      <c r="A2833">
        <v>2.7752212118535799E-24</v>
      </c>
      <c r="B2833">
        <v>0.77008367150538204</v>
      </c>
      <c r="C2833">
        <v>0.81599999999999995</v>
      </c>
      <c r="D2833">
        <v>0.55900000000000005</v>
      </c>
      <c r="E2833">
        <v>4.2968750023128998E-20</v>
      </c>
      <c r="F2833">
        <v>7</v>
      </c>
      <c r="G2833" t="s">
        <v>2826</v>
      </c>
      <c r="H2833" t="s">
        <v>2827</v>
      </c>
      <c r="I2833" t="s">
        <v>2826</v>
      </c>
      <c r="J2833" s="1" t="str">
        <f>HYPERLINK("https://zfin.org/ZDB-GENE-040426-2826")</f>
        <v>https://zfin.org/ZDB-GENE-040426-2826</v>
      </c>
      <c r="K2833" t="s">
        <v>2828</v>
      </c>
    </row>
    <row r="2834" spans="1:11" x14ac:dyDescent="0.2">
      <c r="A2834">
        <v>2.49524982132639E-23</v>
      </c>
      <c r="B2834">
        <v>0.85817493972691705</v>
      </c>
      <c r="C2834">
        <v>0.95</v>
      </c>
      <c r="D2834">
        <v>0.80100000000000005</v>
      </c>
      <c r="E2834">
        <v>3.8633952983596502E-19</v>
      </c>
      <c r="F2834">
        <v>7</v>
      </c>
      <c r="G2834" t="s">
        <v>2069</v>
      </c>
      <c r="H2834" t="s">
        <v>2070</v>
      </c>
      <c r="I2834" t="s">
        <v>2069</v>
      </c>
      <c r="J2834" s="1" t="str">
        <f>HYPERLINK("https://zfin.org/ZDB-GENE-030131-12")</f>
        <v>https://zfin.org/ZDB-GENE-030131-12</v>
      </c>
      <c r="K2834" t="s">
        <v>2071</v>
      </c>
    </row>
    <row r="2835" spans="1:11" x14ac:dyDescent="0.2">
      <c r="A2835">
        <v>3.5959239849646199E-23</v>
      </c>
      <c r="B2835">
        <v>0.73222828963140796</v>
      </c>
      <c r="C2835">
        <v>0.77100000000000002</v>
      </c>
      <c r="D2835">
        <v>0.47799999999999998</v>
      </c>
      <c r="E2835">
        <v>5.5675691059207203E-19</v>
      </c>
      <c r="F2835">
        <v>7</v>
      </c>
      <c r="G2835" t="s">
        <v>5985</v>
      </c>
      <c r="H2835" t="s">
        <v>5986</v>
      </c>
      <c r="I2835" t="s">
        <v>5985</v>
      </c>
      <c r="J2835" s="1" t="str">
        <f>HYPERLINK("https://zfin.org/ZDB-GENE-040718-371")</f>
        <v>https://zfin.org/ZDB-GENE-040718-371</v>
      </c>
      <c r="K2835" t="s">
        <v>5987</v>
      </c>
    </row>
    <row r="2836" spans="1:11" x14ac:dyDescent="0.2">
      <c r="A2836">
        <v>4.67745225829355E-23</v>
      </c>
      <c r="B2836">
        <v>0.79102962007703503</v>
      </c>
      <c r="C2836">
        <v>0.223</v>
      </c>
      <c r="D2836">
        <v>3.9E-2</v>
      </c>
      <c r="E2836">
        <v>7.2420993315159101E-19</v>
      </c>
      <c r="F2836">
        <v>7</v>
      </c>
      <c r="G2836" t="s">
        <v>5988</v>
      </c>
      <c r="H2836" t="s">
        <v>5989</v>
      </c>
      <c r="I2836" t="s">
        <v>5988</v>
      </c>
      <c r="J2836" s="1" t="str">
        <f>HYPERLINK("https://zfin.org/ZDB-GENE-110418-1")</f>
        <v>https://zfin.org/ZDB-GENE-110418-1</v>
      </c>
      <c r="K2836" t="s">
        <v>5990</v>
      </c>
    </row>
    <row r="2837" spans="1:11" x14ac:dyDescent="0.2">
      <c r="A2837">
        <v>4.83218185574E-23</v>
      </c>
      <c r="B2837">
        <v>0.96892723001550596</v>
      </c>
      <c r="C2837">
        <v>0.52500000000000002</v>
      </c>
      <c r="D2837">
        <v>0.21199999999999999</v>
      </c>
      <c r="E2837">
        <v>7.4816671672422505E-19</v>
      </c>
      <c r="F2837">
        <v>7</v>
      </c>
      <c r="G2837" t="s">
        <v>5991</v>
      </c>
      <c r="H2837" t="s">
        <v>5992</v>
      </c>
      <c r="I2837" t="s">
        <v>5991</v>
      </c>
      <c r="J2837" s="1" t="str">
        <f>HYPERLINK("https://zfin.org/ZDB-GENE-070119-3")</f>
        <v>https://zfin.org/ZDB-GENE-070119-3</v>
      </c>
      <c r="K2837" t="s">
        <v>5993</v>
      </c>
    </row>
    <row r="2838" spans="1:11" x14ac:dyDescent="0.2">
      <c r="A2838">
        <v>6.5729379727683703E-23</v>
      </c>
      <c r="B2838">
        <v>0.64925638547367404</v>
      </c>
      <c r="C2838">
        <v>0.53100000000000003</v>
      </c>
      <c r="D2838">
        <v>0.19800000000000001</v>
      </c>
      <c r="E2838">
        <v>1.01768798632373E-18</v>
      </c>
      <c r="F2838">
        <v>7</v>
      </c>
      <c r="G2838" t="s">
        <v>5994</v>
      </c>
      <c r="H2838" t="s">
        <v>5995</v>
      </c>
      <c r="I2838" t="s">
        <v>5994</v>
      </c>
      <c r="J2838" s="1" t="str">
        <f>HYPERLINK("https://zfin.org/ZDB-GENE-011109-2")</f>
        <v>https://zfin.org/ZDB-GENE-011109-2</v>
      </c>
      <c r="K2838" t="s">
        <v>5996</v>
      </c>
    </row>
    <row r="2839" spans="1:11" x14ac:dyDescent="0.2">
      <c r="A2839">
        <v>5.2270952578267197E-22</v>
      </c>
      <c r="B2839">
        <v>0.64702623097377898</v>
      </c>
      <c r="C2839">
        <v>0.251</v>
      </c>
      <c r="D2839">
        <v>5.0999999999999997E-2</v>
      </c>
      <c r="E2839">
        <v>8.0931115876931204E-18</v>
      </c>
      <c r="F2839">
        <v>7</v>
      </c>
      <c r="G2839" t="s">
        <v>5997</v>
      </c>
      <c r="H2839" t="s">
        <v>5998</v>
      </c>
      <c r="I2839" t="s">
        <v>5997</v>
      </c>
      <c r="J2839" s="1" t="str">
        <f>HYPERLINK("https://zfin.org/")</f>
        <v>https://zfin.org/</v>
      </c>
    </row>
    <row r="2840" spans="1:11" x14ac:dyDescent="0.2">
      <c r="A2840">
        <v>1.20458447705567E-21</v>
      </c>
      <c r="B2840">
        <v>-1.8765068318735301</v>
      </c>
      <c r="C2840">
        <v>0.626</v>
      </c>
      <c r="D2840">
        <v>0.79700000000000004</v>
      </c>
      <c r="E2840">
        <v>1.8650581458252899E-17</v>
      </c>
      <c r="F2840">
        <v>7</v>
      </c>
      <c r="G2840" t="s">
        <v>2606</v>
      </c>
      <c r="H2840" t="s">
        <v>2607</v>
      </c>
      <c r="I2840" t="s">
        <v>2606</v>
      </c>
      <c r="J2840" s="1" t="str">
        <f>HYPERLINK("https://zfin.org/ZDB-GENE-121214-200")</f>
        <v>https://zfin.org/ZDB-GENE-121214-200</v>
      </c>
      <c r="K2840" t="s">
        <v>2608</v>
      </c>
    </row>
    <row r="2841" spans="1:11" x14ac:dyDescent="0.2">
      <c r="A2841">
        <v>1.3778811982256001E-21</v>
      </c>
      <c r="B2841">
        <v>0.46586431548241097</v>
      </c>
      <c r="C2841">
        <v>0.24</v>
      </c>
      <c r="D2841">
        <v>4.8000000000000001E-2</v>
      </c>
      <c r="E2841">
        <v>2.1333734592126999E-17</v>
      </c>
      <c r="F2841">
        <v>7</v>
      </c>
      <c r="G2841" t="s">
        <v>5999</v>
      </c>
      <c r="H2841" t="s">
        <v>6000</v>
      </c>
      <c r="I2841" t="s">
        <v>5999</v>
      </c>
      <c r="J2841" s="1" t="str">
        <f>HYPERLINK("https://zfin.org/ZDB-GENE-080430-1")</f>
        <v>https://zfin.org/ZDB-GENE-080430-1</v>
      </c>
      <c r="K2841" t="s">
        <v>6001</v>
      </c>
    </row>
    <row r="2842" spans="1:11" x14ac:dyDescent="0.2">
      <c r="A2842">
        <v>1.4868927442051001E-21</v>
      </c>
      <c r="B2842">
        <v>0.57399091872672903</v>
      </c>
      <c r="C2842">
        <v>0.81</v>
      </c>
      <c r="D2842">
        <v>0.47499999999999998</v>
      </c>
      <c r="E2842">
        <v>2.30215603585275E-17</v>
      </c>
      <c r="F2842">
        <v>7</v>
      </c>
      <c r="G2842" t="s">
        <v>2766</v>
      </c>
      <c r="H2842" t="s">
        <v>2767</v>
      </c>
      <c r="I2842" t="s">
        <v>2766</v>
      </c>
      <c r="J2842" s="1" t="str">
        <f>HYPERLINK("https://zfin.org/ZDB-GENE-041114-138")</f>
        <v>https://zfin.org/ZDB-GENE-041114-138</v>
      </c>
      <c r="K2842" t="s">
        <v>2768</v>
      </c>
    </row>
    <row r="2843" spans="1:11" x14ac:dyDescent="0.2">
      <c r="A2843">
        <v>1.8686599544796001E-21</v>
      </c>
      <c r="B2843">
        <v>0.46203965634886601</v>
      </c>
      <c r="C2843">
        <v>0.96099999999999997</v>
      </c>
      <c r="D2843">
        <v>0.85299999999999998</v>
      </c>
      <c r="E2843">
        <v>2.8932462075207601E-17</v>
      </c>
      <c r="F2843">
        <v>7</v>
      </c>
      <c r="G2843" t="s">
        <v>1483</v>
      </c>
      <c r="H2843" t="s">
        <v>1484</v>
      </c>
      <c r="I2843" t="s">
        <v>1483</v>
      </c>
      <c r="J2843" s="1" t="str">
        <f>HYPERLINK("https://zfin.org/ZDB-GENE-010726-1")</f>
        <v>https://zfin.org/ZDB-GENE-010726-1</v>
      </c>
      <c r="K2843" t="s">
        <v>1485</v>
      </c>
    </row>
    <row r="2844" spans="1:11" x14ac:dyDescent="0.2">
      <c r="A2844">
        <v>8.0521498821378899E-21</v>
      </c>
      <c r="B2844">
        <v>0.70681371799674797</v>
      </c>
      <c r="C2844">
        <v>0.47499999999999998</v>
      </c>
      <c r="D2844">
        <v>0.183</v>
      </c>
      <c r="E2844">
        <v>1.24671436625141E-16</v>
      </c>
      <c r="F2844">
        <v>7</v>
      </c>
      <c r="G2844" t="s">
        <v>6002</v>
      </c>
      <c r="H2844" t="s">
        <v>6003</v>
      </c>
      <c r="I2844" t="s">
        <v>6002</v>
      </c>
      <c r="J2844" s="1" t="str">
        <f>HYPERLINK("https://zfin.org/ZDB-GENE-030131-2913")</f>
        <v>https://zfin.org/ZDB-GENE-030131-2913</v>
      </c>
      <c r="K2844" t="s">
        <v>6004</v>
      </c>
    </row>
    <row r="2845" spans="1:11" x14ac:dyDescent="0.2">
      <c r="A2845">
        <v>9.1115763295110506E-21</v>
      </c>
      <c r="B2845">
        <v>0.57520860865860102</v>
      </c>
      <c r="C2845">
        <v>0.497</v>
      </c>
      <c r="D2845">
        <v>0.18099999999999999</v>
      </c>
      <c r="E2845">
        <v>1.4107453630982E-16</v>
      </c>
      <c r="F2845">
        <v>7</v>
      </c>
      <c r="G2845" t="s">
        <v>6005</v>
      </c>
      <c r="H2845" t="s">
        <v>6006</v>
      </c>
      <c r="I2845" t="s">
        <v>6005</v>
      </c>
      <c r="J2845" s="1" t="str">
        <f>HYPERLINK("https://zfin.org/ZDB-GENE-040718-440")</f>
        <v>https://zfin.org/ZDB-GENE-040718-440</v>
      </c>
      <c r="K2845" t="s">
        <v>6007</v>
      </c>
    </row>
    <row r="2846" spans="1:11" x14ac:dyDescent="0.2">
      <c r="A2846">
        <v>1.9304151927103399E-20</v>
      </c>
      <c r="B2846">
        <v>0.62793692583206795</v>
      </c>
      <c r="C2846">
        <v>0.49199999999999999</v>
      </c>
      <c r="D2846">
        <v>0.191</v>
      </c>
      <c r="E2846">
        <v>2.9888618428734198E-16</v>
      </c>
      <c r="F2846">
        <v>7</v>
      </c>
      <c r="G2846" t="s">
        <v>6008</v>
      </c>
      <c r="H2846" t="s">
        <v>6009</v>
      </c>
      <c r="I2846" t="s">
        <v>6008</v>
      </c>
      <c r="J2846" s="1" t="str">
        <f>HYPERLINK("https://zfin.org/ZDB-GENE-040801-58")</f>
        <v>https://zfin.org/ZDB-GENE-040801-58</v>
      </c>
      <c r="K2846" t="s">
        <v>6010</v>
      </c>
    </row>
    <row r="2847" spans="1:11" x14ac:dyDescent="0.2">
      <c r="A2847">
        <v>2.5225577941355901E-20</v>
      </c>
      <c r="B2847">
        <v>-1.33330003305165</v>
      </c>
      <c r="C2847">
        <v>0.27400000000000002</v>
      </c>
      <c r="D2847">
        <v>0.58699999999999997</v>
      </c>
      <c r="E2847">
        <v>3.90567623266014E-16</v>
      </c>
      <c r="F2847">
        <v>7</v>
      </c>
      <c r="G2847" t="s">
        <v>2930</v>
      </c>
      <c r="H2847" t="s">
        <v>2931</v>
      </c>
      <c r="I2847" t="s">
        <v>2930</v>
      </c>
      <c r="J2847" s="1" t="str">
        <f>HYPERLINK("https://zfin.org/ZDB-GENE-031016-2")</f>
        <v>https://zfin.org/ZDB-GENE-031016-2</v>
      </c>
      <c r="K2847" t="s">
        <v>2932</v>
      </c>
    </row>
    <row r="2848" spans="1:11" x14ac:dyDescent="0.2">
      <c r="A2848">
        <v>4.37158636782297E-20</v>
      </c>
      <c r="B2848">
        <v>0.65547384136027897</v>
      </c>
      <c r="C2848">
        <v>0.70899999999999996</v>
      </c>
      <c r="D2848">
        <v>0.41299999999999998</v>
      </c>
      <c r="E2848">
        <v>6.7685271733003099E-16</v>
      </c>
      <c r="F2848">
        <v>7</v>
      </c>
      <c r="G2848" t="s">
        <v>3995</v>
      </c>
      <c r="H2848" t="s">
        <v>3996</v>
      </c>
      <c r="I2848" t="s">
        <v>3995</v>
      </c>
      <c r="J2848" s="1" t="str">
        <f>HYPERLINK("https://zfin.org/ZDB-GENE-050417-338")</f>
        <v>https://zfin.org/ZDB-GENE-050417-338</v>
      </c>
      <c r="K2848" t="s">
        <v>3997</v>
      </c>
    </row>
    <row r="2849" spans="1:11" x14ac:dyDescent="0.2">
      <c r="A2849">
        <v>1.80917426045587E-19</v>
      </c>
      <c r="B2849">
        <v>0.45766355077820198</v>
      </c>
      <c r="C2849">
        <v>0.22900000000000001</v>
      </c>
      <c r="D2849">
        <v>4.7E-2</v>
      </c>
      <c r="E2849">
        <v>2.8011445074638201E-15</v>
      </c>
      <c r="F2849">
        <v>7</v>
      </c>
      <c r="G2849" t="s">
        <v>6011</v>
      </c>
      <c r="H2849" t="s">
        <v>6012</v>
      </c>
      <c r="I2849" t="s">
        <v>6011</v>
      </c>
      <c r="J2849" s="1" t="str">
        <f>HYPERLINK("https://zfin.org/ZDB-GENE-060929-512")</f>
        <v>https://zfin.org/ZDB-GENE-060929-512</v>
      </c>
      <c r="K2849" t="s">
        <v>6013</v>
      </c>
    </row>
    <row r="2850" spans="1:11" x14ac:dyDescent="0.2">
      <c r="A2850">
        <v>4.3658615711800104E-19</v>
      </c>
      <c r="B2850">
        <v>0.527937333988868</v>
      </c>
      <c r="C2850">
        <v>0.26300000000000001</v>
      </c>
      <c r="D2850">
        <v>6.3E-2</v>
      </c>
      <c r="E2850">
        <v>6.759663470658E-15</v>
      </c>
      <c r="F2850">
        <v>7</v>
      </c>
      <c r="G2850" t="s">
        <v>6014</v>
      </c>
      <c r="H2850" t="s">
        <v>6015</v>
      </c>
      <c r="I2850" t="s">
        <v>6014</v>
      </c>
      <c r="J2850" s="1" t="str">
        <f>HYPERLINK("https://zfin.org/ZDB-GENE-080204-14")</f>
        <v>https://zfin.org/ZDB-GENE-080204-14</v>
      </c>
      <c r="K2850" t="s">
        <v>6016</v>
      </c>
    </row>
    <row r="2851" spans="1:11" x14ac:dyDescent="0.2">
      <c r="A2851">
        <v>6.0405116301857596E-19</v>
      </c>
      <c r="B2851">
        <v>0.77069025708599204</v>
      </c>
      <c r="C2851">
        <v>0.74299999999999999</v>
      </c>
      <c r="D2851">
        <v>0.47899999999999998</v>
      </c>
      <c r="E2851">
        <v>9.3525241570166204E-15</v>
      </c>
      <c r="F2851">
        <v>7</v>
      </c>
      <c r="G2851" t="s">
        <v>2654</v>
      </c>
      <c r="H2851" t="s">
        <v>2655</v>
      </c>
      <c r="I2851" t="s">
        <v>2654</v>
      </c>
      <c r="J2851" s="1" t="str">
        <f>HYPERLINK("https://zfin.org/ZDB-GENE-141212-380")</f>
        <v>https://zfin.org/ZDB-GENE-141212-380</v>
      </c>
      <c r="K2851" t="s">
        <v>2656</v>
      </c>
    </row>
    <row r="2852" spans="1:11" x14ac:dyDescent="0.2">
      <c r="A2852">
        <v>6.27931057008111E-19</v>
      </c>
      <c r="B2852">
        <v>-0.82261281566262601</v>
      </c>
      <c r="C2852">
        <v>0.749</v>
      </c>
      <c r="D2852">
        <v>0.86699999999999999</v>
      </c>
      <c r="E2852">
        <v>9.7222565556565801E-15</v>
      </c>
      <c r="F2852">
        <v>7</v>
      </c>
      <c r="G2852" t="s">
        <v>997</v>
      </c>
      <c r="H2852" t="s">
        <v>998</v>
      </c>
      <c r="I2852" t="s">
        <v>997</v>
      </c>
      <c r="J2852" s="1" t="str">
        <f>HYPERLINK("https://zfin.org/ZDB-GENE-030131-5590")</f>
        <v>https://zfin.org/ZDB-GENE-030131-5590</v>
      </c>
      <c r="K2852" t="s">
        <v>999</v>
      </c>
    </row>
    <row r="2853" spans="1:11" x14ac:dyDescent="0.2">
      <c r="A2853">
        <v>1.23830580976272E-18</v>
      </c>
      <c r="B2853">
        <v>0.68386628649762904</v>
      </c>
      <c r="C2853">
        <v>0.63700000000000001</v>
      </c>
      <c r="D2853">
        <v>0.33</v>
      </c>
      <c r="E2853">
        <v>1.9172688852556199E-14</v>
      </c>
      <c r="F2853">
        <v>7</v>
      </c>
      <c r="G2853" t="s">
        <v>6017</v>
      </c>
      <c r="H2853" t="s">
        <v>6018</v>
      </c>
      <c r="I2853" t="s">
        <v>6017</v>
      </c>
      <c r="J2853" s="1" t="str">
        <f>HYPERLINK("https://zfin.org/ZDB-GENE-100922-65")</f>
        <v>https://zfin.org/ZDB-GENE-100922-65</v>
      </c>
      <c r="K2853" t="s">
        <v>6019</v>
      </c>
    </row>
    <row r="2854" spans="1:11" x14ac:dyDescent="0.2">
      <c r="A2854">
        <v>1.26757776933263E-18</v>
      </c>
      <c r="B2854">
        <v>0.42132596765095898</v>
      </c>
      <c r="C2854">
        <v>0.156</v>
      </c>
      <c r="D2854">
        <v>2.1999999999999999E-2</v>
      </c>
      <c r="E2854">
        <v>1.9625906602577101E-14</v>
      </c>
      <c r="F2854">
        <v>7</v>
      </c>
      <c r="G2854" t="s">
        <v>6020</v>
      </c>
      <c r="H2854" t="s">
        <v>6021</v>
      </c>
      <c r="I2854" t="s">
        <v>6020</v>
      </c>
      <c r="J2854" s="1" t="str">
        <f>HYPERLINK("https://zfin.org/ZDB-GENE-001120-1")</f>
        <v>https://zfin.org/ZDB-GENE-001120-1</v>
      </c>
      <c r="K2854" t="s">
        <v>6022</v>
      </c>
    </row>
    <row r="2855" spans="1:11" x14ac:dyDescent="0.2">
      <c r="A2855">
        <v>1.62271364925757E-18</v>
      </c>
      <c r="B2855">
        <v>0.48236682803539799</v>
      </c>
      <c r="C2855">
        <v>0.97199999999999998</v>
      </c>
      <c r="D2855">
        <v>0.82399999999999995</v>
      </c>
      <c r="E2855">
        <v>2.5124475431454999E-14</v>
      </c>
      <c r="F2855">
        <v>7</v>
      </c>
      <c r="G2855" t="s">
        <v>3050</v>
      </c>
      <c r="H2855" t="s">
        <v>3051</v>
      </c>
      <c r="I2855" t="s">
        <v>3050</v>
      </c>
      <c r="J2855" s="1" t="str">
        <f>HYPERLINK("https://zfin.org/ZDB-GENE-000607-83")</f>
        <v>https://zfin.org/ZDB-GENE-000607-83</v>
      </c>
      <c r="K2855" t="s">
        <v>3052</v>
      </c>
    </row>
    <row r="2856" spans="1:11" x14ac:dyDescent="0.2">
      <c r="A2856">
        <v>3.04475295489398E-18</v>
      </c>
      <c r="B2856">
        <v>0.34626853953384201</v>
      </c>
      <c r="C2856">
        <v>0.16200000000000001</v>
      </c>
      <c r="D2856">
        <v>2.5000000000000001E-2</v>
      </c>
      <c r="E2856">
        <v>4.7141910000623502E-14</v>
      </c>
      <c r="F2856">
        <v>7</v>
      </c>
      <c r="G2856" t="s">
        <v>6023</v>
      </c>
      <c r="H2856" t="s">
        <v>6024</v>
      </c>
      <c r="I2856" t="s">
        <v>6023</v>
      </c>
      <c r="J2856" s="1" t="str">
        <f>HYPERLINK("https://zfin.org/ZDB-GENE-030131-4605")</f>
        <v>https://zfin.org/ZDB-GENE-030131-4605</v>
      </c>
      <c r="K2856" t="s">
        <v>6025</v>
      </c>
    </row>
    <row r="2857" spans="1:11" x14ac:dyDescent="0.2">
      <c r="A2857">
        <v>3.1451007334785201E-18</v>
      </c>
      <c r="B2857">
        <v>-1.70012047304511</v>
      </c>
      <c r="C2857">
        <v>1</v>
      </c>
      <c r="D2857">
        <v>1</v>
      </c>
      <c r="E2857">
        <v>4.8695594656447903E-14</v>
      </c>
      <c r="F2857">
        <v>7</v>
      </c>
      <c r="G2857" t="s">
        <v>708</v>
      </c>
      <c r="H2857" t="s">
        <v>709</v>
      </c>
      <c r="I2857" t="s">
        <v>708</v>
      </c>
      <c r="J2857" s="1" t="str">
        <f>HYPERLINK("https://zfin.org/ZDB-GENE-030805-3")</f>
        <v>https://zfin.org/ZDB-GENE-030805-3</v>
      </c>
      <c r="K2857" t="s">
        <v>710</v>
      </c>
    </row>
    <row r="2858" spans="1:11" x14ac:dyDescent="0.2">
      <c r="A2858">
        <v>5.0878419075314498E-18</v>
      </c>
      <c r="B2858">
        <v>-0.90029168140207005</v>
      </c>
      <c r="C2858">
        <v>0.60299999999999998</v>
      </c>
      <c r="D2858">
        <v>0.78300000000000003</v>
      </c>
      <c r="E2858">
        <v>7.8775056254309394E-14</v>
      </c>
      <c r="F2858">
        <v>7</v>
      </c>
      <c r="G2858" t="s">
        <v>2018</v>
      </c>
      <c r="H2858" t="s">
        <v>2019</v>
      </c>
      <c r="I2858" t="s">
        <v>2018</v>
      </c>
      <c r="J2858" s="1" t="str">
        <f>HYPERLINK("https://zfin.org/ZDB-GENE-101011-2")</f>
        <v>https://zfin.org/ZDB-GENE-101011-2</v>
      </c>
      <c r="K2858" t="s">
        <v>2020</v>
      </c>
    </row>
    <row r="2859" spans="1:11" x14ac:dyDescent="0.2">
      <c r="A2859">
        <v>9.4865305598007096E-18</v>
      </c>
      <c r="B2859">
        <v>0.56889152554040801</v>
      </c>
      <c r="C2859">
        <v>0.67600000000000005</v>
      </c>
      <c r="D2859">
        <v>0.35799999999999998</v>
      </c>
      <c r="E2859">
        <v>1.46879952657394E-13</v>
      </c>
      <c r="F2859">
        <v>7</v>
      </c>
      <c r="G2859" t="s">
        <v>3161</v>
      </c>
      <c r="H2859" t="s">
        <v>3162</v>
      </c>
      <c r="I2859" t="s">
        <v>3161</v>
      </c>
      <c r="J2859" s="1" t="str">
        <f>HYPERLINK("https://zfin.org/ZDB-GENE-030131-2415")</f>
        <v>https://zfin.org/ZDB-GENE-030131-2415</v>
      </c>
      <c r="K2859" t="s">
        <v>3163</v>
      </c>
    </row>
    <row r="2860" spans="1:11" x14ac:dyDescent="0.2">
      <c r="A2860">
        <v>1.1867692609554699E-17</v>
      </c>
      <c r="B2860">
        <v>0.27983399062702902</v>
      </c>
      <c r="C2860">
        <v>0.123</v>
      </c>
      <c r="D2860">
        <v>1.2999999999999999E-2</v>
      </c>
      <c r="E2860">
        <v>1.8374748467373601E-13</v>
      </c>
      <c r="F2860">
        <v>7</v>
      </c>
      <c r="G2860" t="s">
        <v>6026</v>
      </c>
      <c r="H2860" t="s">
        <v>6027</v>
      </c>
      <c r="I2860" t="s">
        <v>6026</v>
      </c>
      <c r="J2860" s="1" t="str">
        <f>HYPERLINK("https://zfin.org/ZDB-GENE-980526-178")</f>
        <v>https://zfin.org/ZDB-GENE-980526-178</v>
      </c>
      <c r="K2860" t="s">
        <v>6028</v>
      </c>
    </row>
    <row r="2861" spans="1:11" x14ac:dyDescent="0.2">
      <c r="A2861">
        <v>1.6991705586377999E-17</v>
      </c>
      <c r="B2861">
        <v>0.44531582141399401</v>
      </c>
      <c r="C2861">
        <v>0.13400000000000001</v>
      </c>
      <c r="D2861">
        <v>1.7000000000000001E-2</v>
      </c>
      <c r="E2861">
        <v>2.6308257759389098E-13</v>
      </c>
      <c r="F2861">
        <v>7</v>
      </c>
      <c r="G2861" t="s">
        <v>6029</v>
      </c>
      <c r="H2861" t="s">
        <v>6030</v>
      </c>
      <c r="I2861" t="s">
        <v>6029</v>
      </c>
      <c r="J2861" s="1" t="str">
        <f>HYPERLINK("https://zfin.org/ZDB-GENE-131119-66")</f>
        <v>https://zfin.org/ZDB-GENE-131119-66</v>
      </c>
      <c r="K2861" t="s">
        <v>6031</v>
      </c>
    </row>
    <row r="2862" spans="1:11" x14ac:dyDescent="0.2">
      <c r="A2862">
        <v>2.2465393144003501E-17</v>
      </c>
      <c r="B2862">
        <v>0.38302752614365598</v>
      </c>
      <c r="C2862">
        <v>0.16200000000000001</v>
      </c>
      <c r="D2862">
        <v>2.7E-2</v>
      </c>
      <c r="E2862">
        <v>3.4783168204860502E-13</v>
      </c>
      <c r="F2862">
        <v>7</v>
      </c>
      <c r="G2862" t="s">
        <v>6032</v>
      </c>
      <c r="H2862" t="s">
        <v>6033</v>
      </c>
      <c r="I2862" t="s">
        <v>6032</v>
      </c>
      <c r="J2862" s="1" t="str">
        <f>HYPERLINK("https://zfin.org/ZDB-GENE-980526-397")</f>
        <v>https://zfin.org/ZDB-GENE-980526-397</v>
      </c>
      <c r="K2862" t="s">
        <v>6034</v>
      </c>
    </row>
    <row r="2863" spans="1:11" x14ac:dyDescent="0.2">
      <c r="A2863">
        <v>2.7081202766187899E-17</v>
      </c>
      <c r="B2863">
        <v>0.275745250002988</v>
      </c>
      <c r="C2863">
        <v>0.10100000000000001</v>
      </c>
      <c r="D2863">
        <v>8.0000000000000002E-3</v>
      </c>
      <c r="E2863">
        <v>4.1929826242888801E-13</v>
      </c>
      <c r="F2863">
        <v>7</v>
      </c>
      <c r="G2863" t="s">
        <v>6035</v>
      </c>
      <c r="H2863" t="s">
        <v>6036</v>
      </c>
      <c r="I2863" t="s">
        <v>6035</v>
      </c>
      <c r="J2863" s="1" t="str">
        <f>HYPERLINK("https://zfin.org/ZDB-GENE-030131-7410")</f>
        <v>https://zfin.org/ZDB-GENE-030131-7410</v>
      </c>
      <c r="K2863" t="s">
        <v>6037</v>
      </c>
    </row>
    <row r="2864" spans="1:11" x14ac:dyDescent="0.2">
      <c r="A2864">
        <v>3.0487225596767301E-17</v>
      </c>
      <c r="B2864">
        <v>-0.45269342148652097</v>
      </c>
      <c r="C2864">
        <v>0.93899999999999995</v>
      </c>
      <c r="D2864">
        <v>0.96799999999999997</v>
      </c>
      <c r="E2864">
        <v>4.7203371391474904E-13</v>
      </c>
      <c r="F2864">
        <v>7</v>
      </c>
      <c r="G2864" t="s">
        <v>1712</v>
      </c>
      <c r="H2864" t="s">
        <v>1713</v>
      </c>
      <c r="I2864" t="s">
        <v>1712</v>
      </c>
      <c r="J2864" s="1" t="str">
        <f>HYPERLINK("https://zfin.org/ZDB-GENE-030131-8951")</f>
        <v>https://zfin.org/ZDB-GENE-030131-8951</v>
      </c>
      <c r="K2864" t="s">
        <v>1714</v>
      </c>
    </row>
    <row r="2865" spans="1:11" x14ac:dyDescent="0.2">
      <c r="A2865">
        <v>3.0566271700617498E-17</v>
      </c>
      <c r="B2865">
        <v>0.54945544622991405</v>
      </c>
      <c r="C2865">
        <v>0.441</v>
      </c>
      <c r="D2865">
        <v>0.17299999999999999</v>
      </c>
      <c r="E2865">
        <v>4.7325758474066004E-13</v>
      </c>
      <c r="F2865">
        <v>7</v>
      </c>
      <c r="G2865" t="s">
        <v>6038</v>
      </c>
      <c r="H2865" t="s">
        <v>6039</v>
      </c>
      <c r="I2865" t="s">
        <v>6038</v>
      </c>
      <c r="J2865" s="1" t="str">
        <f>HYPERLINK("https://zfin.org/ZDB-GENE-040718-449")</f>
        <v>https://zfin.org/ZDB-GENE-040718-449</v>
      </c>
      <c r="K2865" t="s">
        <v>6040</v>
      </c>
    </row>
    <row r="2866" spans="1:11" x14ac:dyDescent="0.2">
      <c r="A2866">
        <v>3.6989175628290097E-17</v>
      </c>
      <c r="B2866">
        <v>-0.61795708968778196</v>
      </c>
      <c r="C2866">
        <v>0.93899999999999995</v>
      </c>
      <c r="D2866">
        <v>0.96599999999999997</v>
      </c>
      <c r="E2866">
        <v>5.7270340625281599E-13</v>
      </c>
      <c r="F2866">
        <v>7</v>
      </c>
      <c r="G2866" t="s">
        <v>3320</v>
      </c>
      <c r="H2866" t="s">
        <v>3321</v>
      </c>
      <c r="I2866" t="s">
        <v>3320</v>
      </c>
      <c r="J2866" s="1" t="str">
        <f>HYPERLINK("https://zfin.org/ZDB-GENE-030131-8681")</f>
        <v>https://zfin.org/ZDB-GENE-030131-8681</v>
      </c>
      <c r="K2866" t="s">
        <v>3322</v>
      </c>
    </row>
    <row r="2867" spans="1:11" x14ac:dyDescent="0.2">
      <c r="A2867">
        <v>4.8003218067459102E-17</v>
      </c>
      <c r="B2867">
        <v>0.50440364435572405</v>
      </c>
      <c r="C2867">
        <v>0.78200000000000003</v>
      </c>
      <c r="D2867">
        <v>0.54200000000000004</v>
      </c>
      <c r="E2867">
        <v>7.4323382533846898E-13</v>
      </c>
      <c r="F2867">
        <v>7</v>
      </c>
      <c r="G2867" t="s">
        <v>3386</v>
      </c>
      <c r="H2867" t="s">
        <v>3387</v>
      </c>
      <c r="I2867" t="s">
        <v>3386</v>
      </c>
      <c r="J2867" s="1" t="str">
        <f>HYPERLINK("https://zfin.org/ZDB-GENE-080204-124")</f>
        <v>https://zfin.org/ZDB-GENE-080204-124</v>
      </c>
      <c r="K2867" t="s">
        <v>3388</v>
      </c>
    </row>
    <row r="2868" spans="1:11" x14ac:dyDescent="0.2">
      <c r="A2868">
        <v>7.7996249651462598E-17</v>
      </c>
      <c r="B2868">
        <v>0.36514767564935602</v>
      </c>
      <c r="C2868">
        <v>0.13400000000000001</v>
      </c>
      <c r="D2868">
        <v>1.7999999999999999E-2</v>
      </c>
      <c r="E2868">
        <v>1.2076159333536E-12</v>
      </c>
      <c r="F2868">
        <v>7</v>
      </c>
      <c r="G2868" t="s">
        <v>6041</v>
      </c>
      <c r="H2868" t="s">
        <v>6042</v>
      </c>
      <c r="I2868" t="s">
        <v>6041</v>
      </c>
      <c r="J2868" s="1" t="str">
        <f>HYPERLINK("https://zfin.org/ZDB-GENE-000526-1")</f>
        <v>https://zfin.org/ZDB-GENE-000526-1</v>
      </c>
      <c r="K2868" t="s">
        <v>6043</v>
      </c>
    </row>
    <row r="2869" spans="1:11" x14ac:dyDescent="0.2">
      <c r="A2869">
        <v>8.0741858014340101E-17</v>
      </c>
      <c r="B2869">
        <v>0.40454237578925401</v>
      </c>
      <c r="C2869">
        <v>0.97799999999999998</v>
      </c>
      <c r="D2869">
        <v>0.86099999999999999</v>
      </c>
      <c r="E2869">
        <v>1.2501261876360301E-12</v>
      </c>
      <c r="F2869">
        <v>7</v>
      </c>
      <c r="G2869" t="s">
        <v>1363</v>
      </c>
      <c r="H2869" t="s">
        <v>1364</v>
      </c>
      <c r="I2869" t="s">
        <v>1363</v>
      </c>
      <c r="J2869" s="1" t="str">
        <f>HYPERLINK("https://zfin.org/ZDB-GENE-031002-9")</f>
        <v>https://zfin.org/ZDB-GENE-031002-9</v>
      </c>
      <c r="K2869" t="s">
        <v>1365</v>
      </c>
    </row>
    <row r="2870" spans="1:11" x14ac:dyDescent="0.2">
      <c r="A2870">
        <v>8.1147535521642998E-17</v>
      </c>
      <c r="B2870">
        <v>0.49640570833519998</v>
      </c>
      <c r="C2870">
        <v>0.22900000000000001</v>
      </c>
      <c r="D2870">
        <v>5.6000000000000001E-2</v>
      </c>
      <c r="E2870">
        <v>1.2564072924816001E-12</v>
      </c>
      <c r="F2870">
        <v>7</v>
      </c>
      <c r="G2870" t="s">
        <v>6044</v>
      </c>
      <c r="H2870" t="s">
        <v>6045</v>
      </c>
      <c r="I2870" t="s">
        <v>6044</v>
      </c>
      <c r="J2870" s="1" t="str">
        <f>HYPERLINK("https://zfin.org/ZDB-GENE-090406-1")</f>
        <v>https://zfin.org/ZDB-GENE-090406-1</v>
      </c>
      <c r="K2870" t="s">
        <v>6046</v>
      </c>
    </row>
    <row r="2871" spans="1:11" x14ac:dyDescent="0.2">
      <c r="A2871">
        <v>1.57702050644003E-16</v>
      </c>
      <c r="B2871">
        <v>0.67333950523830599</v>
      </c>
      <c r="C2871">
        <v>0.872</v>
      </c>
      <c r="D2871">
        <v>0.77300000000000002</v>
      </c>
      <c r="E2871">
        <v>2.4417008501211E-12</v>
      </c>
      <c r="F2871">
        <v>7</v>
      </c>
      <c r="G2871" t="s">
        <v>2123</v>
      </c>
      <c r="H2871" t="s">
        <v>2124</v>
      </c>
      <c r="I2871" t="s">
        <v>2123</v>
      </c>
      <c r="J2871" s="1" t="str">
        <f>HYPERLINK("https://zfin.org/ZDB-GENE-141222-6")</f>
        <v>https://zfin.org/ZDB-GENE-141222-6</v>
      </c>
      <c r="K2871" t="s">
        <v>2125</v>
      </c>
    </row>
    <row r="2872" spans="1:11" x14ac:dyDescent="0.2">
      <c r="A2872">
        <v>2.4439169314293801E-16</v>
      </c>
      <c r="B2872">
        <v>-1.0548472451089701</v>
      </c>
      <c r="C2872">
        <v>4.4999999999999998E-2</v>
      </c>
      <c r="D2872">
        <v>0.34399999999999997</v>
      </c>
      <c r="E2872">
        <v>3.7839165849321098E-12</v>
      </c>
      <c r="F2872">
        <v>7</v>
      </c>
      <c r="G2872" t="s">
        <v>5748</v>
      </c>
      <c r="H2872" t="s">
        <v>5749</v>
      </c>
      <c r="I2872" t="s">
        <v>5748</v>
      </c>
      <c r="J2872" s="1" t="str">
        <f>HYPERLINK("https://zfin.org/ZDB-GENE-070912-648")</f>
        <v>https://zfin.org/ZDB-GENE-070912-648</v>
      </c>
      <c r="K2872" t="s">
        <v>5750</v>
      </c>
    </row>
    <row r="2873" spans="1:11" x14ac:dyDescent="0.2">
      <c r="A2873">
        <v>4.84204159938083E-16</v>
      </c>
      <c r="B2873">
        <v>0.27834408700451002</v>
      </c>
      <c r="C2873">
        <v>0.123</v>
      </c>
      <c r="D2873">
        <v>1.6E-2</v>
      </c>
      <c r="E2873">
        <v>7.4969330083213305E-12</v>
      </c>
      <c r="F2873">
        <v>7</v>
      </c>
      <c r="G2873" t="s">
        <v>6047</v>
      </c>
      <c r="H2873" t="s">
        <v>6048</v>
      </c>
      <c r="I2873" t="s">
        <v>6047</v>
      </c>
      <c r="J2873" s="1" t="str">
        <f>HYPERLINK("https://zfin.org/ZDB-GENE-091118-76")</f>
        <v>https://zfin.org/ZDB-GENE-091118-76</v>
      </c>
      <c r="K2873" t="s">
        <v>6049</v>
      </c>
    </row>
    <row r="2874" spans="1:11" x14ac:dyDescent="0.2">
      <c r="A2874">
        <v>6.3046317609114601E-16</v>
      </c>
      <c r="B2874">
        <v>0.53252204770740996</v>
      </c>
      <c r="C2874">
        <v>0.60299999999999998</v>
      </c>
      <c r="D2874">
        <v>0.308</v>
      </c>
      <c r="E2874">
        <v>9.7614613554192098E-12</v>
      </c>
      <c r="F2874">
        <v>7</v>
      </c>
      <c r="G2874" t="s">
        <v>3329</v>
      </c>
      <c r="H2874" t="s">
        <v>3330</v>
      </c>
      <c r="I2874" t="s">
        <v>3329</v>
      </c>
      <c r="J2874" s="1" t="str">
        <f>HYPERLINK("https://zfin.org/ZDB-GENE-040426-1413")</f>
        <v>https://zfin.org/ZDB-GENE-040426-1413</v>
      </c>
      <c r="K2874" t="s">
        <v>3331</v>
      </c>
    </row>
    <row r="2875" spans="1:11" x14ac:dyDescent="0.2">
      <c r="A2875">
        <v>7.2250210122277002E-16</v>
      </c>
      <c r="B2875">
        <v>0.53795869508854899</v>
      </c>
      <c r="C2875">
        <v>0.38</v>
      </c>
      <c r="D2875">
        <v>0.14199999999999999</v>
      </c>
      <c r="E2875">
        <v>1.11865000332322E-11</v>
      </c>
      <c r="F2875">
        <v>7</v>
      </c>
      <c r="G2875" t="s">
        <v>6050</v>
      </c>
      <c r="H2875" t="s">
        <v>6051</v>
      </c>
      <c r="I2875" t="s">
        <v>6050</v>
      </c>
      <c r="J2875" s="1" t="str">
        <f>HYPERLINK("https://zfin.org/ZDB-GENE-040426-1785")</f>
        <v>https://zfin.org/ZDB-GENE-040426-1785</v>
      </c>
      <c r="K2875" t="s">
        <v>6052</v>
      </c>
    </row>
    <row r="2876" spans="1:11" x14ac:dyDescent="0.2">
      <c r="A2876">
        <v>9.9218455563028709E-16</v>
      </c>
      <c r="B2876">
        <v>0.42915440579866099</v>
      </c>
      <c r="C2876">
        <v>0.13400000000000001</v>
      </c>
      <c r="D2876">
        <v>0.02</v>
      </c>
      <c r="E2876">
        <v>1.5361993474823701E-11</v>
      </c>
      <c r="F2876">
        <v>7</v>
      </c>
      <c r="G2876" t="s">
        <v>6053</v>
      </c>
      <c r="H2876" t="s">
        <v>6054</v>
      </c>
      <c r="I2876" t="s">
        <v>6053</v>
      </c>
      <c r="J2876" s="1" t="str">
        <f>HYPERLINK("https://zfin.org/ZDB-GENE-050102-1")</f>
        <v>https://zfin.org/ZDB-GENE-050102-1</v>
      </c>
      <c r="K2876" t="s">
        <v>6055</v>
      </c>
    </row>
    <row r="2877" spans="1:11" x14ac:dyDescent="0.2">
      <c r="A2877">
        <v>1.2567325523517E-15</v>
      </c>
      <c r="B2877">
        <v>0.32795349017078401</v>
      </c>
      <c r="C2877">
        <v>0.20699999999999999</v>
      </c>
      <c r="D2877">
        <v>4.8000000000000001E-2</v>
      </c>
      <c r="E2877">
        <v>1.9457990108061401E-11</v>
      </c>
      <c r="F2877">
        <v>7</v>
      </c>
      <c r="G2877" t="s">
        <v>6056</v>
      </c>
      <c r="H2877" t="s">
        <v>6057</v>
      </c>
      <c r="I2877" t="s">
        <v>6056</v>
      </c>
      <c r="J2877" s="1" t="str">
        <f>HYPERLINK("https://zfin.org/ZDB-GENE-060512-221")</f>
        <v>https://zfin.org/ZDB-GENE-060512-221</v>
      </c>
      <c r="K2877" t="s">
        <v>6058</v>
      </c>
    </row>
    <row r="2878" spans="1:11" x14ac:dyDescent="0.2">
      <c r="A2878">
        <v>1.3418158311310399E-15</v>
      </c>
      <c r="B2878">
        <v>0.39697134217719698</v>
      </c>
      <c r="C2878">
        <v>0.98299999999999998</v>
      </c>
      <c r="D2878">
        <v>0.98099999999999998</v>
      </c>
      <c r="E2878">
        <v>2.0775334513401899E-11</v>
      </c>
      <c r="F2878">
        <v>7</v>
      </c>
      <c r="G2878" t="s">
        <v>2817</v>
      </c>
      <c r="H2878" t="s">
        <v>2818</v>
      </c>
      <c r="I2878" t="s">
        <v>2817</v>
      </c>
      <c r="J2878" s="1" t="str">
        <f>HYPERLINK("https://zfin.org/ZDB-GENE-031222-4")</f>
        <v>https://zfin.org/ZDB-GENE-031222-4</v>
      </c>
      <c r="K2878" t="s">
        <v>2819</v>
      </c>
    </row>
    <row r="2879" spans="1:11" x14ac:dyDescent="0.2">
      <c r="A2879">
        <v>1.3855367749732099E-15</v>
      </c>
      <c r="B2879">
        <v>0.51307194593243799</v>
      </c>
      <c r="C2879">
        <v>0.56999999999999995</v>
      </c>
      <c r="D2879">
        <v>0.27300000000000002</v>
      </c>
      <c r="E2879">
        <v>2.14522658869102E-11</v>
      </c>
      <c r="F2879">
        <v>7</v>
      </c>
      <c r="G2879" t="s">
        <v>5846</v>
      </c>
      <c r="H2879" t="s">
        <v>5847</v>
      </c>
      <c r="I2879" t="s">
        <v>5846</v>
      </c>
      <c r="J2879" s="1" t="str">
        <f>HYPERLINK("https://zfin.org/ZDB-GENE-001212-5")</f>
        <v>https://zfin.org/ZDB-GENE-001212-5</v>
      </c>
      <c r="K2879" t="s">
        <v>5848</v>
      </c>
    </row>
    <row r="2880" spans="1:11" x14ac:dyDescent="0.2">
      <c r="A2880">
        <v>1.58869990239142E-15</v>
      </c>
      <c r="B2880">
        <v>0.38408275376895201</v>
      </c>
      <c r="C2880">
        <v>0.112</v>
      </c>
      <c r="D2880">
        <v>1.2999999999999999E-2</v>
      </c>
      <c r="E2880">
        <v>2.4597840588726299E-11</v>
      </c>
      <c r="F2880">
        <v>7</v>
      </c>
      <c r="G2880" t="s">
        <v>6059</v>
      </c>
      <c r="H2880" t="s">
        <v>6060</v>
      </c>
      <c r="I2880" t="s">
        <v>6059</v>
      </c>
      <c r="J2880" s="1" t="str">
        <f>HYPERLINK("https://zfin.org/")</f>
        <v>https://zfin.org/</v>
      </c>
      <c r="K2880" t="s">
        <v>6061</v>
      </c>
    </row>
    <row r="2881" spans="1:11" x14ac:dyDescent="0.2">
      <c r="A2881">
        <v>1.7380777185781901E-15</v>
      </c>
      <c r="B2881">
        <v>0.33150225034491698</v>
      </c>
      <c r="C2881">
        <v>0.19</v>
      </c>
      <c r="D2881">
        <v>4.1000000000000002E-2</v>
      </c>
      <c r="E2881">
        <v>2.6910657316746199E-11</v>
      </c>
      <c r="F2881">
        <v>7</v>
      </c>
      <c r="G2881" t="s">
        <v>6062</v>
      </c>
      <c r="H2881" t="s">
        <v>6063</v>
      </c>
      <c r="I2881" t="s">
        <v>6062</v>
      </c>
      <c r="J2881" s="1" t="str">
        <f>HYPERLINK("https://zfin.org/ZDB-GENE-030131-4218")</f>
        <v>https://zfin.org/ZDB-GENE-030131-4218</v>
      </c>
      <c r="K2881" t="s">
        <v>6064</v>
      </c>
    </row>
    <row r="2882" spans="1:11" x14ac:dyDescent="0.2">
      <c r="A2882">
        <v>2.2737215683061901E-15</v>
      </c>
      <c r="B2882">
        <v>0.52146032466360404</v>
      </c>
      <c r="C2882">
        <v>0.58099999999999996</v>
      </c>
      <c r="D2882">
        <v>0.29699999999999999</v>
      </c>
      <c r="E2882">
        <v>3.52040310420847E-11</v>
      </c>
      <c r="F2882">
        <v>7</v>
      </c>
      <c r="G2882" t="s">
        <v>6065</v>
      </c>
      <c r="H2882" t="s">
        <v>6066</v>
      </c>
      <c r="I2882" t="s">
        <v>6065</v>
      </c>
      <c r="J2882" s="1" t="str">
        <f>HYPERLINK("https://zfin.org/ZDB-GENE-070719-5")</f>
        <v>https://zfin.org/ZDB-GENE-070719-5</v>
      </c>
      <c r="K2882" t="s">
        <v>6067</v>
      </c>
    </row>
    <row r="2883" spans="1:11" x14ac:dyDescent="0.2">
      <c r="A2883">
        <v>2.9234911336030101E-15</v>
      </c>
      <c r="B2883">
        <v>0.56502045302860304</v>
      </c>
      <c r="C2883">
        <v>0.14499999999999999</v>
      </c>
      <c r="D2883">
        <v>2.5000000000000001E-2</v>
      </c>
      <c r="E2883">
        <v>4.5264413221575399E-11</v>
      </c>
      <c r="F2883">
        <v>7</v>
      </c>
      <c r="G2883" t="s">
        <v>6068</v>
      </c>
      <c r="H2883" t="s">
        <v>6069</v>
      </c>
      <c r="I2883" t="s">
        <v>6068</v>
      </c>
      <c r="J2883" s="1" t="str">
        <f>HYPERLINK("https://zfin.org/ZDB-GENE-060526-181")</f>
        <v>https://zfin.org/ZDB-GENE-060526-181</v>
      </c>
      <c r="K2883" t="s">
        <v>6070</v>
      </c>
    </row>
    <row r="2884" spans="1:11" x14ac:dyDescent="0.2">
      <c r="A2884">
        <v>2.9925805900474201E-15</v>
      </c>
      <c r="B2884">
        <v>0.412388421576519</v>
      </c>
      <c r="C2884">
        <v>0.96099999999999997</v>
      </c>
      <c r="D2884">
        <v>0.84899999999999998</v>
      </c>
      <c r="E2884">
        <v>4.6334125275704203E-11</v>
      </c>
      <c r="F2884">
        <v>7</v>
      </c>
      <c r="G2884" t="s">
        <v>1739</v>
      </c>
      <c r="H2884" t="s">
        <v>1740</v>
      </c>
      <c r="I2884" t="s">
        <v>1739</v>
      </c>
      <c r="J2884" s="1" t="str">
        <f>HYPERLINK("https://zfin.org/ZDB-GENE-030131-8304")</f>
        <v>https://zfin.org/ZDB-GENE-030131-8304</v>
      </c>
      <c r="K2884" t="s">
        <v>1741</v>
      </c>
    </row>
    <row r="2885" spans="1:11" x14ac:dyDescent="0.2">
      <c r="A2885">
        <v>7.5645822283098907E-15</v>
      </c>
      <c r="B2885">
        <v>0.492928177974719</v>
      </c>
      <c r="C2885">
        <v>0.51400000000000001</v>
      </c>
      <c r="D2885">
        <v>0.23200000000000001</v>
      </c>
      <c r="E2885">
        <v>1.17122426640922E-10</v>
      </c>
      <c r="F2885">
        <v>7</v>
      </c>
      <c r="G2885" t="s">
        <v>6071</v>
      </c>
      <c r="H2885" t="s">
        <v>6072</v>
      </c>
      <c r="I2885" t="s">
        <v>6071</v>
      </c>
      <c r="J2885" s="1" t="str">
        <f>HYPERLINK("https://zfin.org/ZDB-GENE-040426-1064")</f>
        <v>https://zfin.org/ZDB-GENE-040426-1064</v>
      </c>
      <c r="K2885" t="s">
        <v>6073</v>
      </c>
    </row>
    <row r="2886" spans="1:11" x14ac:dyDescent="0.2">
      <c r="A2886">
        <v>9.3221877135493902E-15</v>
      </c>
      <c r="B2886">
        <v>-0.30500398624264102</v>
      </c>
      <c r="C2886">
        <v>1</v>
      </c>
      <c r="D2886">
        <v>0.999</v>
      </c>
      <c r="E2886">
        <v>1.4433543236888501E-10</v>
      </c>
      <c r="F2886">
        <v>7</v>
      </c>
      <c r="G2886" t="s">
        <v>818</v>
      </c>
      <c r="H2886" t="s">
        <v>819</v>
      </c>
      <c r="I2886" t="s">
        <v>818</v>
      </c>
      <c r="J2886" s="1" t="str">
        <f>HYPERLINK("https://zfin.org/ZDB-GENE-030131-7528")</f>
        <v>https://zfin.org/ZDB-GENE-030131-7528</v>
      </c>
      <c r="K2886" t="s">
        <v>820</v>
      </c>
    </row>
    <row r="2887" spans="1:11" x14ac:dyDescent="0.2">
      <c r="A2887">
        <v>1.28210666532478E-14</v>
      </c>
      <c r="B2887">
        <v>0.57745808725238501</v>
      </c>
      <c r="C2887">
        <v>0.60899999999999999</v>
      </c>
      <c r="D2887">
        <v>0.37</v>
      </c>
      <c r="E2887">
        <v>1.9850857499223601E-10</v>
      </c>
      <c r="F2887">
        <v>7</v>
      </c>
      <c r="G2887" t="s">
        <v>6074</v>
      </c>
      <c r="H2887" t="s">
        <v>6075</v>
      </c>
      <c r="I2887" t="s">
        <v>6074</v>
      </c>
      <c r="J2887" s="1" t="str">
        <f>HYPERLINK("https://zfin.org/ZDB-GENE-040426-2379")</f>
        <v>https://zfin.org/ZDB-GENE-040426-2379</v>
      </c>
      <c r="K2887" t="s">
        <v>6076</v>
      </c>
    </row>
    <row r="2888" spans="1:11" x14ac:dyDescent="0.2">
      <c r="A2888">
        <v>1.6842470721754901E-14</v>
      </c>
      <c r="B2888">
        <v>0.47037533706698398</v>
      </c>
      <c r="C2888">
        <v>0.497</v>
      </c>
      <c r="D2888">
        <v>0.22600000000000001</v>
      </c>
      <c r="E2888">
        <v>2.60771974184931E-10</v>
      </c>
      <c r="F2888">
        <v>7</v>
      </c>
      <c r="G2888" t="s">
        <v>6077</v>
      </c>
      <c r="H2888" t="s">
        <v>6078</v>
      </c>
      <c r="I2888" t="s">
        <v>6077</v>
      </c>
      <c r="J2888" s="1" t="str">
        <f>HYPERLINK("https://zfin.org/ZDB-GENE-030131-8455")</f>
        <v>https://zfin.org/ZDB-GENE-030131-8455</v>
      </c>
      <c r="K2888" t="s">
        <v>6079</v>
      </c>
    </row>
    <row r="2889" spans="1:11" x14ac:dyDescent="0.2">
      <c r="A2889">
        <v>1.8680339808229701E-14</v>
      </c>
      <c r="B2889">
        <v>0.43564258831608199</v>
      </c>
      <c r="C2889">
        <v>0.246</v>
      </c>
      <c r="D2889">
        <v>7.0999999999999994E-2</v>
      </c>
      <c r="E2889">
        <v>2.8922770125082099E-10</v>
      </c>
      <c r="F2889">
        <v>7</v>
      </c>
      <c r="G2889" t="s">
        <v>6080</v>
      </c>
      <c r="H2889" t="s">
        <v>6081</v>
      </c>
      <c r="I2889" t="s">
        <v>6080</v>
      </c>
      <c r="J2889" s="1" t="str">
        <f>HYPERLINK("https://zfin.org/ZDB-GENE-111109-3")</f>
        <v>https://zfin.org/ZDB-GENE-111109-3</v>
      </c>
      <c r="K2889" t="s">
        <v>6082</v>
      </c>
    </row>
    <row r="2890" spans="1:11" x14ac:dyDescent="0.2">
      <c r="A2890">
        <v>3.2550359976738703E-14</v>
      </c>
      <c r="B2890">
        <v>0.46398385943436199</v>
      </c>
      <c r="C2890">
        <v>0.60299999999999998</v>
      </c>
      <c r="D2890">
        <v>0.318</v>
      </c>
      <c r="E2890">
        <v>5.0397722351984497E-10</v>
      </c>
      <c r="F2890">
        <v>7</v>
      </c>
      <c r="G2890" t="s">
        <v>3263</v>
      </c>
      <c r="H2890" t="s">
        <v>3264</v>
      </c>
      <c r="I2890" t="s">
        <v>3263</v>
      </c>
      <c r="J2890" s="1" t="str">
        <f>HYPERLINK("https://zfin.org/ZDB-GENE-050417-174")</f>
        <v>https://zfin.org/ZDB-GENE-050417-174</v>
      </c>
      <c r="K2890" t="s">
        <v>3265</v>
      </c>
    </row>
    <row r="2891" spans="1:11" x14ac:dyDescent="0.2">
      <c r="A2891">
        <v>3.7785182034712201E-14</v>
      </c>
      <c r="B2891">
        <v>0.46251606058836697</v>
      </c>
      <c r="C2891">
        <v>0.29099999999999998</v>
      </c>
      <c r="D2891">
        <v>9.9000000000000005E-2</v>
      </c>
      <c r="E2891">
        <v>5.8502797344344799E-10</v>
      </c>
      <c r="F2891">
        <v>7</v>
      </c>
      <c r="G2891" t="s">
        <v>6083</v>
      </c>
      <c r="H2891" t="s">
        <v>6084</v>
      </c>
      <c r="I2891" t="s">
        <v>6083</v>
      </c>
      <c r="J2891" s="1" t="str">
        <f>HYPERLINK("https://zfin.org/ZDB-GENE-031222-2")</f>
        <v>https://zfin.org/ZDB-GENE-031222-2</v>
      </c>
      <c r="K2891" t="s">
        <v>6085</v>
      </c>
    </row>
    <row r="2892" spans="1:11" x14ac:dyDescent="0.2">
      <c r="A2892">
        <v>5.14619688866897E-14</v>
      </c>
      <c r="B2892">
        <v>0.32112587520003499</v>
      </c>
      <c r="C2892">
        <v>0.123</v>
      </c>
      <c r="D2892">
        <v>1.9E-2</v>
      </c>
      <c r="E2892">
        <v>7.9678566427261699E-10</v>
      </c>
      <c r="F2892">
        <v>7</v>
      </c>
      <c r="G2892" t="s">
        <v>6086</v>
      </c>
      <c r="H2892" t="s">
        <v>6087</v>
      </c>
      <c r="I2892" t="s">
        <v>6086</v>
      </c>
      <c r="J2892" s="1" t="str">
        <f>HYPERLINK("https://zfin.org/ZDB-GENE-030131-7461")</f>
        <v>https://zfin.org/ZDB-GENE-030131-7461</v>
      </c>
      <c r="K2892" t="s">
        <v>6088</v>
      </c>
    </row>
    <row r="2893" spans="1:11" x14ac:dyDescent="0.2">
      <c r="A2893">
        <v>5.18945432363033E-14</v>
      </c>
      <c r="B2893">
        <v>0.48257291897500298</v>
      </c>
      <c r="C2893">
        <v>0.42499999999999999</v>
      </c>
      <c r="D2893">
        <v>0.183</v>
      </c>
      <c r="E2893">
        <v>8.0348321292768297E-10</v>
      </c>
      <c r="F2893">
        <v>7</v>
      </c>
      <c r="G2893" t="s">
        <v>6089</v>
      </c>
      <c r="H2893" t="s">
        <v>6090</v>
      </c>
      <c r="I2893" t="s">
        <v>6089</v>
      </c>
      <c r="J2893" s="1" t="str">
        <f>HYPERLINK("https://zfin.org/ZDB-GENE-000831-5")</f>
        <v>https://zfin.org/ZDB-GENE-000831-5</v>
      </c>
      <c r="K2893" t="s">
        <v>6091</v>
      </c>
    </row>
    <row r="2894" spans="1:11" x14ac:dyDescent="0.2">
      <c r="A2894">
        <v>5.3785445818490101E-14</v>
      </c>
      <c r="B2894">
        <v>-0.83912453519701202</v>
      </c>
      <c r="C2894">
        <v>0.45800000000000002</v>
      </c>
      <c r="D2894">
        <v>0.65900000000000003</v>
      </c>
      <c r="E2894">
        <v>8.3276005760768198E-10</v>
      </c>
      <c r="F2894">
        <v>7</v>
      </c>
      <c r="G2894" t="s">
        <v>2389</v>
      </c>
      <c r="H2894" t="s">
        <v>2390</v>
      </c>
      <c r="I2894" t="s">
        <v>2389</v>
      </c>
      <c r="J2894" s="1" t="str">
        <f>HYPERLINK("https://zfin.org/ZDB-GENE-050308-1")</f>
        <v>https://zfin.org/ZDB-GENE-050308-1</v>
      </c>
      <c r="K2894" t="s">
        <v>2391</v>
      </c>
    </row>
    <row r="2895" spans="1:11" x14ac:dyDescent="0.2">
      <c r="A2895">
        <v>7.7088759433388499E-14</v>
      </c>
      <c r="B2895">
        <v>-0.87287825371167904</v>
      </c>
      <c r="C2895">
        <v>0.46899999999999997</v>
      </c>
      <c r="D2895">
        <v>0.65900000000000003</v>
      </c>
      <c r="E2895">
        <v>1.1935652623071501E-9</v>
      </c>
      <c r="F2895">
        <v>7</v>
      </c>
      <c r="G2895" t="s">
        <v>2799</v>
      </c>
      <c r="H2895" t="s">
        <v>2800</v>
      </c>
      <c r="I2895" t="s">
        <v>2799</v>
      </c>
      <c r="J2895" s="1" t="str">
        <f>HYPERLINK("https://zfin.org/ZDB-GENE-040426-2931")</f>
        <v>https://zfin.org/ZDB-GENE-040426-2931</v>
      </c>
      <c r="K2895" t="s">
        <v>2801</v>
      </c>
    </row>
    <row r="2896" spans="1:11" x14ac:dyDescent="0.2">
      <c r="A2896">
        <v>7.9152303988309597E-14</v>
      </c>
      <c r="B2896">
        <v>0.31393944000326202</v>
      </c>
      <c r="C2896">
        <v>0.16800000000000001</v>
      </c>
      <c r="D2896">
        <v>3.5999999999999997E-2</v>
      </c>
      <c r="E2896">
        <v>1.225515122651E-9</v>
      </c>
      <c r="F2896">
        <v>7</v>
      </c>
      <c r="G2896" t="s">
        <v>6092</v>
      </c>
      <c r="H2896" t="s">
        <v>6093</v>
      </c>
      <c r="I2896" t="s">
        <v>6092</v>
      </c>
      <c r="J2896" s="1" t="str">
        <f>HYPERLINK("https://zfin.org/ZDB-GENE-061103-367")</f>
        <v>https://zfin.org/ZDB-GENE-061103-367</v>
      </c>
      <c r="K2896" t="s">
        <v>6094</v>
      </c>
    </row>
    <row r="2897" spans="1:11" x14ac:dyDescent="0.2">
      <c r="A2897">
        <v>9.6280467317534897E-14</v>
      </c>
      <c r="B2897">
        <v>0.46836417867311098</v>
      </c>
      <c r="C2897">
        <v>0.77700000000000002</v>
      </c>
      <c r="D2897">
        <v>0.51700000000000002</v>
      </c>
      <c r="E2897">
        <v>1.49071047547739E-9</v>
      </c>
      <c r="F2897">
        <v>7</v>
      </c>
      <c r="G2897" t="s">
        <v>2814</v>
      </c>
      <c r="H2897" t="s">
        <v>2815</v>
      </c>
      <c r="I2897" t="s">
        <v>2814</v>
      </c>
      <c r="J2897" s="1" t="str">
        <f>HYPERLINK("https://zfin.org/ZDB-GENE-051023-8")</f>
        <v>https://zfin.org/ZDB-GENE-051023-8</v>
      </c>
      <c r="K2897" t="s">
        <v>2816</v>
      </c>
    </row>
    <row r="2898" spans="1:11" x14ac:dyDescent="0.2">
      <c r="A2898">
        <v>1.03418501768603E-13</v>
      </c>
      <c r="B2898">
        <v>-1.1347922452752099</v>
      </c>
      <c r="C2898">
        <v>0.20699999999999999</v>
      </c>
      <c r="D2898">
        <v>0.47899999999999998</v>
      </c>
      <c r="E2898">
        <v>1.60122866288328E-9</v>
      </c>
      <c r="F2898">
        <v>7</v>
      </c>
      <c r="G2898" t="s">
        <v>3299</v>
      </c>
      <c r="H2898" t="s">
        <v>3300</v>
      </c>
      <c r="I2898" t="s">
        <v>3299</v>
      </c>
      <c r="J2898" s="1" t="str">
        <f>HYPERLINK("https://zfin.org/ZDB-GENE-011212-6")</f>
        <v>https://zfin.org/ZDB-GENE-011212-6</v>
      </c>
      <c r="K2898" t="s">
        <v>3301</v>
      </c>
    </row>
    <row r="2899" spans="1:11" x14ac:dyDescent="0.2">
      <c r="A2899">
        <v>1.03888963514406E-13</v>
      </c>
      <c r="B2899">
        <v>1.28226570765273</v>
      </c>
      <c r="C2899">
        <v>0.11700000000000001</v>
      </c>
      <c r="D2899">
        <v>1.7999999999999999E-2</v>
      </c>
      <c r="E2899">
        <v>1.6085128220935501E-9</v>
      </c>
      <c r="F2899">
        <v>7</v>
      </c>
      <c r="G2899" t="s">
        <v>6095</v>
      </c>
      <c r="H2899" t="s">
        <v>6096</v>
      </c>
      <c r="I2899" t="s">
        <v>6095</v>
      </c>
      <c r="J2899" s="1" t="str">
        <f>HYPERLINK("https://zfin.org/")</f>
        <v>https://zfin.org/</v>
      </c>
    </row>
    <row r="2900" spans="1:11" x14ac:dyDescent="0.2">
      <c r="A2900">
        <v>1.7314809501076099E-13</v>
      </c>
      <c r="B2900">
        <v>-0.93873425206019001</v>
      </c>
      <c r="C2900">
        <v>0.14000000000000001</v>
      </c>
      <c r="D2900">
        <v>0.41099999999999998</v>
      </c>
      <c r="E2900">
        <v>2.6808519550516099E-9</v>
      </c>
      <c r="F2900">
        <v>7</v>
      </c>
      <c r="G2900" t="s">
        <v>5704</v>
      </c>
      <c r="H2900" t="s">
        <v>5705</v>
      </c>
      <c r="I2900" t="s">
        <v>5704</v>
      </c>
      <c r="J2900" s="1" t="str">
        <f>HYPERLINK("https://zfin.org/ZDB-GENE-061103-283")</f>
        <v>https://zfin.org/ZDB-GENE-061103-283</v>
      </c>
      <c r="K2900" t="s">
        <v>5706</v>
      </c>
    </row>
    <row r="2901" spans="1:11" x14ac:dyDescent="0.2">
      <c r="A2901">
        <v>2.1485953331806799E-13</v>
      </c>
      <c r="B2901">
        <v>-0.98021651240903995</v>
      </c>
      <c r="C2901">
        <v>7.2999999999999995E-2</v>
      </c>
      <c r="D2901">
        <v>0.33500000000000002</v>
      </c>
      <c r="E2901">
        <v>3.32667015436365E-9</v>
      </c>
      <c r="F2901">
        <v>7</v>
      </c>
      <c r="G2901" t="s">
        <v>6097</v>
      </c>
      <c r="H2901" t="s">
        <v>6098</v>
      </c>
      <c r="I2901" t="s">
        <v>6097</v>
      </c>
      <c r="J2901" s="1" t="str">
        <f>HYPERLINK("https://zfin.org/ZDB-GENE-030521-10")</f>
        <v>https://zfin.org/ZDB-GENE-030521-10</v>
      </c>
      <c r="K2901" t="s">
        <v>6099</v>
      </c>
    </row>
    <row r="2902" spans="1:11" x14ac:dyDescent="0.2">
      <c r="A2902">
        <v>2.4948693652489298E-13</v>
      </c>
      <c r="B2902">
        <v>0.40796160070354098</v>
      </c>
      <c r="C2902">
        <v>0.16800000000000001</v>
      </c>
      <c r="D2902">
        <v>3.9E-2</v>
      </c>
      <c r="E2902">
        <v>3.8628062382149103E-9</v>
      </c>
      <c r="F2902">
        <v>7</v>
      </c>
      <c r="G2902" t="s">
        <v>6100</v>
      </c>
      <c r="H2902" t="s">
        <v>6101</v>
      </c>
      <c r="I2902" t="s">
        <v>6100</v>
      </c>
      <c r="J2902" s="1" t="str">
        <f>HYPERLINK("https://zfin.org/ZDB-GENE-030131-6149")</f>
        <v>https://zfin.org/ZDB-GENE-030131-6149</v>
      </c>
      <c r="K2902" t="s">
        <v>6102</v>
      </c>
    </row>
    <row r="2903" spans="1:11" x14ac:dyDescent="0.2">
      <c r="A2903">
        <v>4.0113591556090401E-13</v>
      </c>
      <c r="B2903">
        <v>0.469208588954036</v>
      </c>
      <c r="C2903">
        <v>0.64800000000000002</v>
      </c>
      <c r="D2903">
        <v>0.39600000000000002</v>
      </c>
      <c r="E2903">
        <v>6.2107873806294701E-9</v>
      </c>
      <c r="F2903">
        <v>7</v>
      </c>
      <c r="G2903" t="s">
        <v>3089</v>
      </c>
      <c r="H2903" t="s">
        <v>3090</v>
      </c>
      <c r="I2903" t="s">
        <v>3089</v>
      </c>
      <c r="J2903" s="1" t="str">
        <f>HYPERLINK("https://zfin.org/ZDB-GENE-040801-77")</f>
        <v>https://zfin.org/ZDB-GENE-040801-77</v>
      </c>
      <c r="K2903" t="s">
        <v>3091</v>
      </c>
    </row>
    <row r="2904" spans="1:11" x14ac:dyDescent="0.2">
      <c r="A2904">
        <v>4.5553932986065102E-13</v>
      </c>
      <c r="B2904">
        <v>1.16775910618455</v>
      </c>
      <c r="C2904">
        <v>0.39700000000000002</v>
      </c>
      <c r="D2904">
        <v>0.19</v>
      </c>
      <c r="E2904">
        <v>7.0531154442324699E-9</v>
      </c>
      <c r="F2904">
        <v>7</v>
      </c>
      <c r="G2904" t="s">
        <v>6103</v>
      </c>
      <c r="H2904" t="s">
        <v>6104</v>
      </c>
      <c r="I2904" t="s">
        <v>6103</v>
      </c>
      <c r="J2904" s="1" t="str">
        <f>HYPERLINK("https://zfin.org/ZDB-GENE-021231-1")</f>
        <v>https://zfin.org/ZDB-GENE-021231-1</v>
      </c>
      <c r="K2904" t="s">
        <v>6105</v>
      </c>
    </row>
    <row r="2905" spans="1:11" x14ac:dyDescent="0.2">
      <c r="A2905">
        <v>7.3075506834066605E-13</v>
      </c>
      <c r="B2905">
        <v>0.71396068412936498</v>
      </c>
      <c r="C2905">
        <v>0.41899999999999998</v>
      </c>
      <c r="D2905">
        <v>0.20200000000000001</v>
      </c>
      <c r="E2905">
        <v>1.13142807231185E-8</v>
      </c>
      <c r="F2905">
        <v>7</v>
      </c>
      <c r="G2905" t="s">
        <v>6106</v>
      </c>
      <c r="H2905" t="s">
        <v>6107</v>
      </c>
      <c r="I2905" t="s">
        <v>6106</v>
      </c>
      <c r="J2905" s="1" t="str">
        <f>HYPERLINK("https://zfin.org/ZDB-GENE-020111-4")</f>
        <v>https://zfin.org/ZDB-GENE-020111-4</v>
      </c>
      <c r="K2905" t="s">
        <v>6108</v>
      </c>
    </row>
    <row r="2906" spans="1:11" x14ac:dyDescent="0.2">
      <c r="A2906">
        <v>1.16617053323678E-12</v>
      </c>
      <c r="B2906">
        <v>0.51316922799643905</v>
      </c>
      <c r="C2906">
        <v>0.57499999999999996</v>
      </c>
      <c r="D2906">
        <v>0.33700000000000002</v>
      </c>
      <c r="E2906">
        <v>1.8055818366105101E-8</v>
      </c>
      <c r="F2906">
        <v>7</v>
      </c>
      <c r="G2906" t="s">
        <v>6109</v>
      </c>
      <c r="H2906" t="s">
        <v>6110</v>
      </c>
      <c r="I2906" t="s">
        <v>6109</v>
      </c>
      <c r="J2906" s="1" t="str">
        <f>HYPERLINK("https://zfin.org/ZDB-GENE-050320-111")</f>
        <v>https://zfin.org/ZDB-GENE-050320-111</v>
      </c>
      <c r="K2906" t="s">
        <v>6111</v>
      </c>
    </row>
    <row r="2907" spans="1:11" x14ac:dyDescent="0.2">
      <c r="A2907">
        <v>1.25705527017214E-12</v>
      </c>
      <c r="B2907">
        <v>-1.1684259824897401</v>
      </c>
      <c r="C2907">
        <v>0.73699999999999999</v>
      </c>
      <c r="D2907">
        <v>0.83199999999999996</v>
      </c>
      <c r="E2907">
        <v>1.9462986748075301E-8</v>
      </c>
      <c r="F2907">
        <v>7</v>
      </c>
      <c r="G2907" t="s">
        <v>2727</v>
      </c>
      <c r="H2907" t="s">
        <v>2728</v>
      </c>
      <c r="I2907" t="s">
        <v>2727</v>
      </c>
      <c r="J2907" s="1" t="str">
        <f>HYPERLINK("https://zfin.org/")</f>
        <v>https://zfin.org/</v>
      </c>
      <c r="K2907" t="s">
        <v>2729</v>
      </c>
    </row>
    <row r="2908" spans="1:11" x14ac:dyDescent="0.2">
      <c r="A2908">
        <v>1.6698093178768199E-12</v>
      </c>
      <c r="B2908">
        <v>-1.2359551502370401</v>
      </c>
      <c r="C2908">
        <v>0.374</v>
      </c>
      <c r="D2908">
        <v>0.57899999999999996</v>
      </c>
      <c r="E2908">
        <v>2.5853657668686799E-8</v>
      </c>
      <c r="F2908">
        <v>7</v>
      </c>
      <c r="G2908" t="s">
        <v>740</v>
      </c>
      <c r="H2908" t="s">
        <v>741</v>
      </c>
      <c r="I2908" t="s">
        <v>740</v>
      </c>
      <c r="J2908" s="1" t="str">
        <f>HYPERLINK("https://zfin.org/ZDB-GENE-030131-8308")</f>
        <v>https://zfin.org/ZDB-GENE-030131-8308</v>
      </c>
      <c r="K2908" t="s">
        <v>742</v>
      </c>
    </row>
    <row r="2909" spans="1:11" x14ac:dyDescent="0.2">
      <c r="A2909">
        <v>1.7390420107178501E-12</v>
      </c>
      <c r="B2909">
        <v>0.65100001097490501</v>
      </c>
      <c r="C2909">
        <v>0.36899999999999999</v>
      </c>
      <c r="D2909">
        <v>0.158</v>
      </c>
      <c r="E2909">
        <v>2.6925587451944401E-8</v>
      </c>
      <c r="F2909">
        <v>7</v>
      </c>
      <c r="G2909" t="s">
        <v>6112</v>
      </c>
      <c r="H2909" t="s">
        <v>6113</v>
      </c>
      <c r="I2909" t="s">
        <v>6112</v>
      </c>
      <c r="J2909" s="1" t="str">
        <f>HYPERLINK("https://zfin.org/ZDB-GENE-040704-11")</f>
        <v>https://zfin.org/ZDB-GENE-040704-11</v>
      </c>
      <c r="K2909" t="s">
        <v>6114</v>
      </c>
    </row>
    <row r="2910" spans="1:11" x14ac:dyDescent="0.2">
      <c r="A2910">
        <v>1.9382571475044101E-12</v>
      </c>
      <c r="B2910">
        <v>0.31439543041257101</v>
      </c>
      <c r="C2910">
        <v>0.14499999999999999</v>
      </c>
      <c r="D2910">
        <v>3.1E-2</v>
      </c>
      <c r="E2910">
        <v>3.0010035414810699E-8</v>
      </c>
      <c r="F2910">
        <v>7</v>
      </c>
      <c r="G2910" t="s">
        <v>6115</v>
      </c>
      <c r="H2910" t="s">
        <v>6116</v>
      </c>
      <c r="I2910" t="s">
        <v>6115</v>
      </c>
      <c r="J2910" s="1" t="str">
        <f>HYPERLINK("https://zfin.org/ZDB-GENE-030131-9632")</f>
        <v>https://zfin.org/ZDB-GENE-030131-9632</v>
      </c>
      <c r="K2910" t="s">
        <v>6117</v>
      </c>
    </row>
    <row r="2911" spans="1:11" x14ac:dyDescent="0.2">
      <c r="A2911">
        <v>2.1412311255446302E-12</v>
      </c>
      <c r="B2911">
        <v>0.53786651679142305</v>
      </c>
      <c r="C2911">
        <v>0.29099999999999998</v>
      </c>
      <c r="D2911">
        <v>0.105</v>
      </c>
      <c r="E2911">
        <v>3.3152681516807498E-8</v>
      </c>
      <c r="F2911">
        <v>7</v>
      </c>
      <c r="G2911" t="s">
        <v>6118</v>
      </c>
      <c r="H2911" t="s">
        <v>6119</v>
      </c>
      <c r="I2911" t="s">
        <v>6118</v>
      </c>
      <c r="J2911" s="1" t="str">
        <f>HYPERLINK("https://zfin.org/")</f>
        <v>https://zfin.org/</v>
      </c>
    </row>
    <row r="2912" spans="1:11" x14ac:dyDescent="0.2">
      <c r="A2912">
        <v>2.67831422347166E-12</v>
      </c>
      <c r="B2912">
        <v>0.35971303547909</v>
      </c>
      <c r="C2912">
        <v>0.95499999999999996</v>
      </c>
      <c r="D2912">
        <v>0.86899999999999999</v>
      </c>
      <c r="E2912">
        <v>4.1468339122011698E-8</v>
      </c>
      <c r="F2912">
        <v>7</v>
      </c>
      <c r="G2912" t="s">
        <v>2027</v>
      </c>
      <c r="H2912" t="s">
        <v>2028</v>
      </c>
      <c r="I2912" t="s">
        <v>2027</v>
      </c>
      <c r="J2912" s="1" t="str">
        <f>HYPERLINK("https://zfin.org/ZDB-GENE-000210-15")</f>
        <v>https://zfin.org/ZDB-GENE-000210-15</v>
      </c>
      <c r="K2912" t="s">
        <v>2029</v>
      </c>
    </row>
    <row r="2913" spans="1:11" x14ac:dyDescent="0.2">
      <c r="A2913">
        <v>4.2020079813094904E-12</v>
      </c>
      <c r="B2913">
        <v>0.386943632370296</v>
      </c>
      <c r="C2913">
        <v>0.20699999999999999</v>
      </c>
      <c r="D2913">
        <v>0.06</v>
      </c>
      <c r="E2913">
        <v>6.5059689574614802E-8</v>
      </c>
      <c r="F2913">
        <v>7</v>
      </c>
      <c r="G2913" t="s">
        <v>6120</v>
      </c>
      <c r="H2913" t="s">
        <v>6121</v>
      </c>
      <c r="I2913" t="s">
        <v>6120</v>
      </c>
      <c r="J2913" s="1" t="str">
        <f>HYPERLINK("https://zfin.org/ZDB-GENE-060929-616")</f>
        <v>https://zfin.org/ZDB-GENE-060929-616</v>
      </c>
      <c r="K2913" t="s">
        <v>6122</v>
      </c>
    </row>
    <row r="2914" spans="1:11" x14ac:dyDescent="0.2">
      <c r="A2914">
        <v>6.8596745049725403E-12</v>
      </c>
      <c r="B2914">
        <v>0.50712873581350004</v>
      </c>
      <c r="C2914">
        <v>0.40799999999999997</v>
      </c>
      <c r="D2914">
        <v>0.19800000000000001</v>
      </c>
      <c r="E2914">
        <v>1.0620834036049001E-7</v>
      </c>
      <c r="F2914">
        <v>7</v>
      </c>
      <c r="G2914" t="s">
        <v>6123</v>
      </c>
      <c r="H2914" t="s">
        <v>6124</v>
      </c>
      <c r="I2914" t="s">
        <v>6123</v>
      </c>
      <c r="J2914" s="1" t="str">
        <f>HYPERLINK("https://zfin.org/ZDB-GENE-030131-8325")</f>
        <v>https://zfin.org/ZDB-GENE-030131-8325</v>
      </c>
      <c r="K2914" t="s">
        <v>6125</v>
      </c>
    </row>
    <row r="2915" spans="1:11" x14ac:dyDescent="0.2">
      <c r="A2915">
        <v>1.05792933434079E-11</v>
      </c>
      <c r="B2915">
        <v>-0.70516473560539705</v>
      </c>
      <c r="C2915">
        <v>0.30199999999999999</v>
      </c>
      <c r="D2915">
        <v>0.53400000000000003</v>
      </c>
      <c r="E2915">
        <v>1.6379919883598401E-7</v>
      </c>
      <c r="F2915">
        <v>7</v>
      </c>
      <c r="G2915" t="s">
        <v>3356</v>
      </c>
      <c r="H2915" t="s">
        <v>3357</v>
      </c>
      <c r="I2915" t="s">
        <v>3356</v>
      </c>
      <c r="J2915" s="1" t="str">
        <f>HYPERLINK("https://zfin.org/ZDB-GENE-030131-7103")</f>
        <v>https://zfin.org/ZDB-GENE-030131-7103</v>
      </c>
      <c r="K2915" t="s">
        <v>3358</v>
      </c>
    </row>
    <row r="2916" spans="1:11" x14ac:dyDescent="0.2">
      <c r="A2916">
        <v>1.14136048861545E-11</v>
      </c>
      <c r="B2916">
        <v>0.34683908916034201</v>
      </c>
      <c r="C2916">
        <v>0.16200000000000001</v>
      </c>
      <c r="D2916">
        <v>0.04</v>
      </c>
      <c r="E2916">
        <v>1.7671684445232901E-7</v>
      </c>
      <c r="F2916">
        <v>7</v>
      </c>
      <c r="G2916" t="s">
        <v>6126</v>
      </c>
      <c r="H2916" t="s">
        <v>6127</v>
      </c>
      <c r="I2916" t="s">
        <v>6126</v>
      </c>
      <c r="J2916" s="1" t="str">
        <f>HYPERLINK("https://zfin.org/ZDB-GENE-030616-513")</f>
        <v>https://zfin.org/ZDB-GENE-030616-513</v>
      </c>
      <c r="K2916" t="s">
        <v>6128</v>
      </c>
    </row>
    <row r="2917" spans="1:11" x14ac:dyDescent="0.2">
      <c r="A2917">
        <v>1.2783927743679599E-11</v>
      </c>
      <c r="B2917">
        <v>0.50719629418581502</v>
      </c>
      <c r="C2917">
        <v>0.26800000000000002</v>
      </c>
      <c r="D2917">
        <v>9.8000000000000004E-2</v>
      </c>
      <c r="E2917">
        <v>1.9793355325539099E-7</v>
      </c>
      <c r="F2917">
        <v>7</v>
      </c>
      <c r="G2917" t="s">
        <v>6129</v>
      </c>
      <c r="H2917" t="s">
        <v>6130</v>
      </c>
      <c r="I2917" t="s">
        <v>6129</v>
      </c>
      <c r="J2917" s="1" t="str">
        <f>HYPERLINK("https://zfin.org/ZDB-GENE-060503-918")</f>
        <v>https://zfin.org/ZDB-GENE-060503-918</v>
      </c>
      <c r="K2917" t="s">
        <v>6131</v>
      </c>
    </row>
    <row r="2918" spans="1:11" x14ac:dyDescent="0.2">
      <c r="A2918">
        <v>1.28694559920712E-11</v>
      </c>
      <c r="B2918">
        <v>0.29070907571073301</v>
      </c>
      <c r="C2918">
        <v>0.13400000000000001</v>
      </c>
      <c r="D2918">
        <v>2.8000000000000001E-2</v>
      </c>
      <c r="E2918">
        <v>1.99257787125238E-7</v>
      </c>
      <c r="F2918">
        <v>7</v>
      </c>
      <c r="G2918" t="s">
        <v>6132</v>
      </c>
      <c r="H2918" t="s">
        <v>6133</v>
      </c>
      <c r="I2918" t="s">
        <v>6132</v>
      </c>
      <c r="J2918" s="1" t="str">
        <f>HYPERLINK("https://zfin.org/ZDB-GENE-030616-571")</f>
        <v>https://zfin.org/ZDB-GENE-030616-571</v>
      </c>
      <c r="K2918" t="s">
        <v>6134</v>
      </c>
    </row>
    <row r="2919" spans="1:11" x14ac:dyDescent="0.2">
      <c r="A2919">
        <v>1.92464630671326E-11</v>
      </c>
      <c r="B2919">
        <v>0.25659485728960202</v>
      </c>
      <c r="C2919">
        <v>0.14000000000000001</v>
      </c>
      <c r="D2919">
        <v>3.1E-2</v>
      </c>
      <c r="E2919">
        <v>2.9799298766841399E-7</v>
      </c>
      <c r="F2919">
        <v>7</v>
      </c>
      <c r="G2919" t="s">
        <v>6135</v>
      </c>
      <c r="H2919" t="s">
        <v>6136</v>
      </c>
      <c r="I2919" t="s">
        <v>6135</v>
      </c>
      <c r="J2919" s="1" t="str">
        <f>HYPERLINK("https://zfin.org/ZDB-GENE-030826-5")</f>
        <v>https://zfin.org/ZDB-GENE-030826-5</v>
      </c>
      <c r="K2919" t="s">
        <v>6137</v>
      </c>
    </row>
    <row r="2920" spans="1:11" x14ac:dyDescent="0.2">
      <c r="A2920">
        <v>2.0175496989311999E-11</v>
      </c>
      <c r="B2920">
        <v>0.27082528684641699</v>
      </c>
      <c r="C2920">
        <v>0.156</v>
      </c>
      <c r="D2920">
        <v>3.7999999999999999E-2</v>
      </c>
      <c r="E2920">
        <v>3.1237721988551801E-7</v>
      </c>
      <c r="F2920">
        <v>7</v>
      </c>
      <c r="G2920" t="s">
        <v>2898</v>
      </c>
      <c r="H2920" t="s">
        <v>2899</v>
      </c>
      <c r="I2920" t="s">
        <v>2898</v>
      </c>
      <c r="J2920" s="1" t="str">
        <f>HYPERLINK("https://zfin.org/ZDB-GENE-110609-2")</f>
        <v>https://zfin.org/ZDB-GENE-110609-2</v>
      </c>
      <c r="K2920" t="s">
        <v>2900</v>
      </c>
    </row>
    <row r="2921" spans="1:11" x14ac:dyDescent="0.2">
      <c r="A2921">
        <v>2.4697234979093E-11</v>
      </c>
      <c r="B2921">
        <v>0.44071559895030499</v>
      </c>
      <c r="C2921">
        <v>0.754</v>
      </c>
      <c r="D2921">
        <v>0.499</v>
      </c>
      <c r="E2921">
        <v>3.8238728918129802E-7</v>
      </c>
      <c r="F2921">
        <v>7</v>
      </c>
      <c r="G2921" t="s">
        <v>6138</v>
      </c>
      <c r="H2921" t="s">
        <v>6139</v>
      </c>
      <c r="I2921" t="s">
        <v>6138</v>
      </c>
      <c r="J2921" s="1" t="str">
        <f>HYPERLINK("https://zfin.org/ZDB-GENE-030131-9446")</f>
        <v>https://zfin.org/ZDB-GENE-030131-9446</v>
      </c>
      <c r="K2921" t="s">
        <v>6140</v>
      </c>
    </row>
    <row r="2922" spans="1:11" x14ac:dyDescent="0.2">
      <c r="A2922">
        <v>3.1055767884207497E-11</v>
      </c>
      <c r="B2922">
        <v>0.415280352208103</v>
      </c>
      <c r="C2922">
        <v>0.72099999999999997</v>
      </c>
      <c r="D2922">
        <v>0.501</v>
      </c>
      <c r="E2922">
        <v>4.8083645415118502E-7</v>
      </c>
      <c r="F2922">
        <v>7</v>
      </c>
      <c r="G2922" t="s">
        <v>2666</v>
      </c>
      <c r="H2922" t="s">
        <v>2667</v>
      </c>
      <c r="I2922" t="s">
        <v>2666</v>
      </c>
      <c r="J2922" s="1" t="str">
        <f>HYPERLINK("https://zfin.org/ZDB-GENE-040426-1362")</f>
        <v>https://zfin.org/ZDB-GENE-040426-1362</v>
      </c>
      <c r="K2922" t="s">
        <v>2668</v>
      </c>
    </row>
    <row r="2923" spans="1:11" x14ac:dyDescent="0.2">
      <c r="A2923">
        <v>3.3049629722653098E-11</v>
      </c>
      <c r="B2923">
        <v>-1.1737764895352301</v>
      </c>
      <c r="C2923">
        <v>0.10100000000000001</v>
      </c>
      <c r="D2923">
        <v>0.32400000000000001</v>
      </c>
      <c r="E2923">
        <v>5.1170741699583696E-7</v>
      </c>
      <c r="F2923">
        <v>7</v>
      </c>
      <c r="G2923" t="s">
        <v>5136</v>
      </c>
      <c r="H2923" t="s">
        <v>5137</v>
      </c>
      <c r="I2923" t="s">
        <v>5136</v>
      </c>
      <c r="J2923" s="1" t="str">
        <f>HYPERLINK("https://zfin.org/ZDB-GENE-110411-139")</f>
        <v>https://zfin.org/ZDB-GENE-110411-139</v>
      </c>
      <c r="K2923" t="s">
        <v>5138</v>
      </c>
    </row>
    <row r="2924" spans="1:11" x14ac:dyDescent="0.2">
      <c r="A2924">
        <v>4.0646657338953999E-11</v>
      </c>
      <c r="B2924">
        <v>0.39481424866045001</v>
      </c>
      <c r="C2924">
        <v>0.94399999999999995</v>
      </c>
      <c r="D2924">
        <v>0.84099999999999997</v>
      </c>
      <c r="E2924">
        <v>6.2933219557902405E-7</v>
      </c>
      <c r="F2924">
        <v>7</v>
      </c>
      <c r="G2924" t="s">
        <v>5241</v>
      </c>
      <c r="H2924" t="s">
        <v>5242</v>
      </c>
      <c r="I2924" t="s">
        <v>5241</v>
      </c>
      <c r="J2924" s="1" t="str">
        <f>HYPERLINK("https://zfin.org/ZDB-GENE-030410-5")</f>
        <v>https://zfin.org/ZDB-GENE-030410-5</v>
      </c>
      <c r="K2924" t="s">
        <v>5243</v>
      </c>
    </row>
    <row r="2925" spans="1:11" x14ac:dyDescent="0.2">
      <c r="A2925">
        <v>4.4154717902729099E-11</v>
      </c>
      <c r="B2925">
        <v>0.29462218974929699</v>
      </c>
      <c r="C2925">
        <v>0.19600000000000001</v>
      </c>
      <c r="D2925">
        <v>5.8000000000000003E-2</v>
      </c>
      <c r="E2925">
        <v>6.8364749728795503E-7</v>
      </c>
      <c r="F2925">
        <v>7</v>
      </c>
      <c r="G2925" t="s">
        <v>6141</v>
      </c>
      <c r="H2925" t="s">
        <v>6142</v>
      </c>
      <c r="I2925" t="s">
        <v>6141</v>
      </c>
      <c r="J2925" s="1" t="str">
        <f>HYPERLINK("https://zfin.org/ZDB-GENE-000210-10")</f>
        <v>https://zfin.org/ZDB-GENE-000210-10</v>
      </c>
      <c r="K2925" t="s">
        <v>6143</v>
      </c>
    </row>
    <row r="2926" spans="1:11" x14ac:dyDescent="0.2">
      <c r="A2926">
        <v>5.1102874470100999E-11</v>
      </c>
      <c r="B2926">
        <v>-0.72202089985099505</v>
      </c>
      <c r="C2926">
        <v>2.1999999999999999E-2</v>
      </c>
      <c r="D2926">
        <v>0.23499999999999999</v>
      </c>
      <c r="E2926">
        <v>7.9122580542057298E-7</v>
      </c>
      <c r="F2926">
        <v>7</v>
      </c>
      <c r="G2926" t="s">
        <v>6144</v>
      </c>
      <c r="H2926" t="s">
        <v>6145</v>
      </c>
      <c r="I2926" t="s">
        <v>6144</v>
      </c>
      <c r="J2926" s="1" t="str">
        <f>HYPERLINK("https://zfin.org/ZDB-GENE-040704-33")</f>
        <v>https://zfin.org/ZDB-GENE-040704-33</v>
      </c>
      <c r="K2926" t="s">
        <v>6146</v>
      </c>
    </row>
    <row r="2927" spans="1:11" x14ac:dyDescent="0.2">
      <c r="A2927">
        <v>5.1971225719088998E-11</v>
      </c>
      <c r="B2927">
        <v>0.309777314755453</v>
      </c>
      <c r="C2927">
        <v>0.16800000000000001</v>
      </c>
      <c r="D2927">
        <v>4.3999999999999997E-2</v>
      </c>
      <c r="E2927">
        <v>8.0467048780865503E-7</v>
      </c>
      <c r="F2927">
        <v>7</v>
      </c>
      <c r="G2927" t="s">
        <v>6147</v>
      </c>
      <c r="H2927" t="s">
        <v>6148</v>
      </c>
      <c r="I2927" t="s">
        <v>6147</v>
      </c>
      <c r="J2927" s="1" t="str">
        <f>HYPERLINK("https://zfin.org/ZDB-GENE-100728-5")</f>
        <v>https://zfin.org/ZDB-GENE-100728-5</v>
      </c>
      <c r="K2927" t="s">
        <v>6149</v>
      </c>
    </row>
    <row r="2928" spans="1:11" x14ac:dyDescent="0.2">
      <c r="A2928">
        <v>6.0482954334011699E-11</v>
      </c>
      <c r="B2928">
        <v>0.53323250329124405</v>
      </c>
      <c r="C2928">
        <v>0.223</v>
      </c>
      <c r="D2928">
        <v>7.6999999999999999E-2</v>
      </c>
      <c r="E2928">
        <v>9.36457581953503E-7</v>
      </c>
      <c r="F2928">
        <v>7</v>
      </c>
      <c r="G2928" t="s">
        <v>6150</v>
      </c>
      <c r="H2928" t="s">
        <v>6151</v>
      </c>
      <c r="I2928" t="s">
        <v>6150</v>
      </c>
      <c r="J2928" s="1" t="str">
        <f>HYPERLINK("https://zfin.org/ZDB-GENE-050419-204")</f>
        <v>https://zfin.org/ZDB-GENE-050419-204</v>
      </c>
      <c r="K2928" t="s">
        <v>6152</v>
      </c>
    </row>
    <row r="2929" spans="1:11" x14ac:dyDescent="0.2">
      <c r="A2929">
        <v>6.7408357932183803E-11</v>
      </c>
      <c r="B2929">
        <v>-1.34389384020592</v>
      </c>
      <c r="C2929">
        <v>9.5000000000000001E-2</v>
      </c>
      <c r="D2929">
        <v>0.315</v>
      </c>
      <c r="E2929">
        <v>1.0436836058640001E-6</v>
      </c>
      <c r="F2929">
        <v>7</v>
      </c>
      <c r="G2929" t="s">
        <v>6153</v>
      </c>
      <c r="H2929" t="s">
        <v>6154</v>
      </c>
      <c r="I2929" t="s">
        <v>6153</v>
      </c>
      <c r="J2929" s="1" t="str">
        <f>HYPERLINK("https://zfin.org/ZDB-GENE-110411-258")</f>
        <v>https://zfin.org/ZDB-GENE-110411-258</v>
      </c>
      <c r="K2929" t="s">
        <v>6155</v>
      </c>
    </row>
    <row r="2930" spans="1:11" x14ac:dyDescent="0.2">
      <c r="A2930">
        <v>7.6177644456497004E-11</v>
      </c>
      <c r="B2930">
        <v>0.373697882996046</v>
      </c>
      <c r="C2930">
        <v>0.52</v>
      </c>
      <c r="D2930">
        <v>0.28299999999999997</v>
      </c>
      <c r="E2930">
        <v>1.17945846911994E-6</v>
      </c>
      <c r="F2930">
        <v>7</v>
      </c>
      <c r="G2930" t="s">
        <v>6156</v>
      </c>
      <c r="H2930" t="s">
        <v>6157</v>
      </c>
      <c r="I2930" t="s">
        <v>6156</v>
      </c>
      <c r="J2930" s="1" t="str">
        <f>HYPERLINK("https://zfin.org/ZDB-GENE-030131-2721")</f>
        <v>https://zfin.org/ZDB-GENE-030131-2721</v>
      </c>
      <c r="K2930" t="s">
        <v>6158</v>
      </c>
    </row>
    <row r="2931" spans="1:11" x14ac:dyDescent="0.2">
      <c r="A2931">
        <v>8.8017781360804204E-11</v>
      </c>
      <c r="B2931">
        <v>0.46449371876205803</v>
      </c>
      <c r="C2931">
        <v>0.26300000000000001</v>
      </c>
      <c r="D2931">
        <v>9.8000000000000004E-2</v>
      </c>
      <c r="E2931">
        <v>1.36277930880933E-6</v>
      </c>
      <c r="F2931">
        <v>7</v>
      </c>
      <c r="G2931" t="s">
        <v>6159</v>
      </c>
      <c r="H2931" t="s">
        <v>6160</v>
      </c>
      <c r="I2931" t="s">
        <v>6159</v>
      </c>
      <c r="J2931" s="1" t="str">
        <f>HYPERLINK("https://zfin.org/ZDB-GENE-030131-3967")</f>
        <v>https://zfin.org/ZDB-GENE-030131-3967</v>
      </c>
      <c r="K2931" t="s">
        <v>6161</v>
      </c>
    </row>
    <row r="2932" spans="1:11" x14ac:dyDescent="0.2">
      <c r="A2932">
        <v>1.35109594395669E-10</v>
      </c>
      <c r="B2932">
        <v>-0.280010104453213</v>
      </c>
      <c r="C2932">
        <v>0.98299999999999998</v>
      </c>
      <c r="D2932">
        <v>0.99299999999999999</v>
      </c>
      <c r="E2932">
        <v>2.0919018500281498E-6</v>
      </c>
      <c r="F2932">
        <v>7</v>
      </c>
      <c r="G2932" t="s">
        <v>1155</v>
      </c>
      <c r="H2932" t="s">
        <v>1156</v>
      </c>
      <c r="I2932" t="s">
        <v>1157</v>
      </c>
      <c r="J2932" s="1" t="str">
        <f>HYPERLINK("https://zfin.org/ZDB-GENE-040625-39")</f>
        <v>https://zfin.org/ZDB-GENE-040625-39</v>
      </c>
      <c r="K2932" t="s">
        <v>1158</v>
      </c>
    </row>
    <row r="2933" spans="1:11" x14ac:dyDescent="0.2">
      <c r="A2933">
        <v>1.77751541130782E-10</v>
      </c>
      <c r="B2933">
        <v>0.42290001835400198</v>
      </c>
      <c r="C2933">
        <v>0.35199999999999998</v>
      </c>
      <c r="D2933">
        <v>0.16200000000000001</v>
      </c>
      <c r="E2933">
        <v>2.7521271113279001E-6</v>
      </c>
      <c r="F2933">
        <v>7</v>
      </c>
      <c r="G2933" t="s">
        <v>6162</v>
      </c>
      <c r="H2933" t="s">
        <v>6163</v>
      </c>
      <c r="I2933" t="s">
        <v>6162</v>
      </c>
      <c r="J2933" s="1" t="str">
        <f>HYPERLINK("https://zfin.org/ZDB-GENE-060130-56")</f>
        <v>https://zfin.org/ZDB-GENE-060130-56</v>
      </c>
      <c r="K2933" t="s">
        <v>6164</v>
      </c>
    </row>
    <row r="2934" spans="1:11" x14ac:dyDescent="0.2">
      <c r="A2934">
        <v>2.6485128214543999E-10</v>
      </c>
      <c r="B2934">
        <v>0.27311381698449899</v>
      </c>
      <c r="C2934">
        <v>0.20699999999999999</v>
      </c>
      <c r="D2934">
        <v>6.6000000000000003E-2</v>
      </c>
      <c r="E2934">
        <v>4.1006924014578504E-6</v>
      </c>
      <c r="F2934">
        <v>7</v>
      </c>
      <c r="G2934" t="s">
        <v>6165</v>
      </c>
      <c r="H2934" t="s">
        <v>6166</v>
      </c>
      <c r="I2934" t="s">
        <v>6165</v>
      </c>
      <c r="J2934" s="1" t="str">
        <f>HYPERLINK("https://zfin.org/ZDB-GENE-040808-37")</f>
        <v>https://zfin.org/ZDB-GENE-040808-37</v>
      </c>
      <c r="K2934" t="s">
        <v>6167</v>
      </c>
    </row>
    <row r="2935" spans="1:11" x14ac:dyDescent="0.2">
      <c r="A2935">
        <v>6.0908652037412502E-10</v>
      </c>
      <c r="B2935">
        <v>-0.87060317088845895</v>
      </c>
      <c r="C2935">
        <v>0.49199999999999999</v>
      </c>
      <c r="D2935">
        <v>0.65400000000000003</v>
      </c>
      <c r="E2935">
        <v>9.4304865949525699E-6</v>
      </c>
      <c r="F2935">
        <v>7</v>
      </c>
      <c r="G2935" t="s">
        <v>4486</v>
      </c>
      <c r="H2935" t="s">
        <v>4487</v>
      </c>
      <c r="I2935" t="s">
        <v>4486</v>
      </c>
      <c r="J2935" s="1" t="str">
        <f>HYPERLINK("https://zfin.org/ZDB-GENE-030131-8625")</f>
        <v>https://zfin.org/ZDB-GENE-030131-8625</v>
      </c>
      <c r="K2935" t="s">
        <v>4488</v>
      </c>
    </row>
    <row r="2936" spans="1:11" x14ac:dyDescent="0.2">
      <c r="A2936">
        <v>6.3519851026060699E-10</v>
      </c>
      <c r="B2936">
        <v>0.37518414651853599</v>
      </c>
      <c r="C2936">
        <v>0.30199999999999999</v>
      </c>
      <c r="D2936">
        <v>0.128</v>
      </c>
      <c r="E2936">
        <v>9.8347785343649794E-6</v>
      </c>
      <c r="F2936">
        <v>7</v>
      </c>
      <c r="G2936" t="s">
        <v>6168</v>
      </c>
      <c r="H2936" t="s">
        <v>6169</v>
      </c>
      <c r="I2936" t="s">
        <v>6168</v>
      </c>
      <c r="J2936" s="1" t="str">
        <f>HYPERLINK("https://zfin.org/ZDB-GENE-040426-2762")</f>
        <v>https://zfin.org/ZDB-GENE-040426-2762</v>
      </c>
      <c r="K2936" t="s">
        <v>6170</v>
      </c>
    </row>
    <row r="2937" spans="1:11" x14ac:dyDescent="0.2">
      <c r="A2937">
        <v>6.4617862058995399E-10</v>
      </c>
      <c r="B2937">
        <v>0.30930643533320601</v>
      </c>
      <c r="C2937">
        <v>0.17299999999999999</v>
      </c>
      <c r="D2937">
        <v>5.0999999999999997E-2</v>
      </c>
      <c r="E2937">
        <v>1.0004783582594301E-5</v>
      </c>
      <c r="F2937">
        <v>7</v>
      </c>
      <c r="G2937" t="s">
        <v>6171</v>
      </c>
      <c r="H2937" t="s">
        <v>6172</v>
      </c>
      <c r="I2937" t="s">
        <v>6171</v>
      </c>
      <c r="J2937" s="1" t="str">
        <f>HYPERLINK("https://zfin.org/ZDB-GENE-030219-74")</f>
        <v>https://zfin.org/ZDB-GENE-030219-74</v>
      </c>
      <c r="K2937" t="s">
        <v>6173</v>
      </c>
    </row>
    <row r="2938" spans="1:11" x14ac:dyDescent="0.2">
      <c r="A2938">
        <v>6.6309520825101301E-10</v>
      </c>
      <c r="B2938">
        <v>0.42312985787038698</v>
      </c>
      <c r="C2938">
        <v>0.34100000000000003</v>
      </c>
      <c r="D2938">
        <v>0.155</v>
      </c>
      <c r="E2938">
        <v>1.0266703109350399E-5</v>
      </c>
      <c r="F2938">
        <v>7</v>
      </c>
      <c r="G2938" t="s">
        <v>6174</v>
      </c>
      <c r="H2938" t="s">
        <v>6175</v>
      </c>
      <c r="I2938" t="s">
        <v>6174</v>
      </c>
      <c r="J2938" s="1" t="str">
        <f>HYPERLINK("https://zfin.org/ZDB-GENE-051129-1")</f>
        <v>https://zfin.org/ZDB-GENE-051129-1</v>
      </c>
      <c r="K2938" t="s">
        <v>6176</v>
      </c>
    </row>
    <row r="2939" spans="1:11" x14ac:dyDescent="0.2">
      <c r="A2939">
        <v>6.7190223355926598E-10</v>
      </c>
      <c r="B2939">
        <v>-0.66929721668806796</v>
      </c>
      <c r="C2939">
        <v>2.1999999999999999E-2</v>
      </c>
      <c r="D2939">
        <v>0.218</v>
      </c>
      <c r="E2939">
        <v>1.04030622821981E-5</v>
      </c>
      <c r="F2939">
        <v>7</v>
      </c>
      <c r="G2939" t="s">
        <v>5728</v>
      </c>
      <c r="H2939" t="s">
        <v>5729</v>
      </c>
      <c r="I2939" t="s">
        <v>5728</v>
      </c>
      <c r="J2939" s="1" t="str">
        <f>HYPERLINK("https://zfin.org/ZDB-GENE-070705-81")</f>
        <v>https://zfin.org/ZDB-GENE-070705-81</v>
      </c>
      <c r="K2939" t="s">
        <v>5730</v>
      </c>
    </row>
    <row r="2940" spans="1:11" x14ac:dyDescent="0.2">
      <c r="A2940">
        <v>7.4494421049473595E-10</v>
      </c>
      <c r="B2940">
        <v>-0.28617525320841303</v>
      </c>
      <c r="C2940">
        <v>0.97199999999999998</v>
      </c>
      <c r="D2940">
        <v>0.97199999999999998</v>
      </c>
      <c r="E2940">
        <v>1.153397121109E-5</v>
      </c>
      <c r="F2940">
        <v>7</v>
      </c>
      <c r="G2940" t="s">
        <v>1715</v>
      </c>
      <c r="H2940" t="s">
        <v>1716</v>
      </c>
      <c r="I2940" t="s">
        <v>1715</v>
      </c>
      <c r="J2940" s="1" t="str">
        <f>HYPERLINK("https://zfin.org/ZDB-GENE-040426-811")</f>
        <v>https://zfin.org/ZDB-GENE-040426-811</v>
      </c>
      <c r="K2940" t="s">
        <v>1717</v>
      </c>
    </row>
    <row r="2941" spans="1:11" x14ac:dyDescent="0.2">
      <c r="A2941">
        <v>7.6314404543464602E-10</v>
      </c>
      <c r="B2941">
        <v>0.36488180636214201</v>
      </c>
      <c r="C2941">
        <v>0.35799999999999998</v>
      </c>
      <c r="D2941">
        <v>0.17399999999999999</v>
      </c>
      <c r="E2941">
        <v>1.1815759255464601E-5</v>
      </c>
      <c r="F2941">
        <v>7</v>
      </c>
      <c r="G2941" t="s">
        <v>6177</v>
      </c>
      <c r="H2941" t="s">
        <v>6178</v>
      </c>
      <c r="I2941" t="s">
        <v>6177</v>
      </c>
      <c r="J2941" s="1" t="str">
        <f>HYPERLINK("https://zfin.org/ZDB-GENE-050417-201")</f>
        <v>https://zfin.org/ZDB-GENE-050417-201</v>
      </c>
      <c r="K2941" t="s">
        <v>6179</v>
      </c>
    </row>
    <row r="2942" spans="1:11" x14ac:dyDescent="0.2">
      <c r="A2942">
        <v>1.18342406206921E-9</v>
      </c>
      <c r="B2942">
        <v>-0.45174584372869703</v>
      </c>
      <c r="C2942">
        <v>0.78200000000000003</v>
      </c>
      <c r="D2942">
        <v>0.86399999999999999</v>
      </c>
      <c r="E2942">
        <v>1.8322954753017601E-5</v>
      </c>
      <c r="F2942">
        <v>7</v>
      </c>
      <c r="G2942" t="s">
        <v>4004</v>
      </c>
      <c r="H2942" t="s">
        <v>4005</v>
      </c>
      <c r="I2942" t="s">
        <v>4004</v>
      </c>
      <c r="J2942" s="1" t="str">
        <f>HYPERLINK("https://zfin.org/ZDB-GENE-050417-329")</f>
        <v>https://zfin.org/ZDB-GENE-050417-329</v>
      </c>
      <c r="K2942" t="s">
        <v>4006</v>
      </c>
    </row>
    <row r="2943" spans="1:11" x14ac:dyDescent="0.2">
      <c r="A2943">
        <v>1.3539860153317899E-9</v>
      </c>
      <c r="B2943">
        <v>-1.2424041750891199</v>
      </c>
      <c r="C2943">
        <v>5.6000000000000001E-2</v>
      </c>
      <c r="D2943">
        <v>0.25</v>
      </c>
      <c r="E2943">
        <v>2.0963765475382098E-5</v>
      </c>
      <c r="F2943">
        <v>7</v>
      </c>
      <c r="G2943" t="s">
        <v>4328</v>
      </c>
      <c r="H2943" t="s">
        <v>4329</v>
      </c>
      <c r="I2943" t="s">
        <v>4328</v>
      </c>
      <c r="J2943" s="1" t="str">
        <f>HYPERLINK("https://zfin.org/ZDB-GENE-031006-14")</f>
        <v>https://zfin.org/ZDB-GENE-031006-14</v>
      </c>
      <c r="K2943" t="s">
        <v>4330</v>
      </c>
    </row>
    <row r="2944" spans="1:11" x14ac:dyDescent="0.2">
      <c r="A2944">
        <v>1.4574747213602299E-9</v>
      </c>
      <c r="B2944">
        <v>0.29182539326358098</v>
      </c>
      <c r="C2944">
        <v>0.14000000000000001</v>
      </c>
      <c r="D2944">
        <v>3.6999999999999998E-2</v>
      </c>
      <c r="E2944">
        <v>2.2566081110820501E-5</v>
      </c>
      <c r="F2944">
        <v>7</v>
      </c>
      <c r="G2944" t="s">
        <v>6180</v>
      </c>
      <c r="H2944" t="s">
        <v>6181</v>
      </c>
      <c r="I2944" t="s">
        <v>6180</v>
      </c>
      <c r="J2944" s="1" t="str">
        <f>HYPERLINK("https://zfin.org/ZDB-GENE-081028-61")</f>
        <v>https://zfin.org/ZDB-GENE-081028-61</v>
      </c>
      <c r="K2944" t="s">
        <v>6182</v>
      </c>
    </row>
    <row r="2945" spans="1:11" x14ac:dyDescent="0.2">
      <c r="A2945">
        <v>1.5183995428808499E-9</v>
      </c>
      <c r="B2945">
        <v>-0.65510769355226905</v>
      </c>
      <c r="C2945">
        <v>0.22900000000000001</v>
      </c>
      <c r="D2945">
        <v>0.443</v>
      </c>
      <c r="E2945">
        <v>2.35093801224242E-5</v>
      </c>
      <c r="F2945">
        <v>7</v>
      </c>
      <c r="G2945" t="s">
        <v>6183</v>
      </c>
      <c r="H2945" t="s">
        <v>6184</v>
      </c>
      <c r="I2945" t="s">
        <v>6183</v>
      </c>
      <c r="J2945" s="1" t="str">
        <f>HYPERLINK("https://zfin.org/ZDB-GENE-080723-23")</f>
        <v>https://zfin.org/ZDB-GENE-080723-23</v>
      </c>
      <c r="K2945" t="s">
        <v>6185</v>
      </c>
    </row>
    <row r="2946" spans="1:11" x14ac:dyDescent="0.2">
      <c r="A2946">
        <v>1.61210887494787E-9</v>
      </c>
      <c r="B2946">
        <v>0.30548954418369101</v>
      </c>
      <c r="C2946">
        <v>0.13400000000000001</v>
      </c>
      <c r="D2946">
        <v>3.4000000000000002E-2</v>
      </c>
      <c r="E2946">
        <v>2.49602817108179E-5</v>
      </c>
      <c r="F2946">
        <v>7</v>
      </c>
      <c r="G2946" t="s">
        <v>6186</v>
      </c>
      <c r="H2946" t="s">
        <v>6187</v>
      </c>
      <c r="I2946" t="s">
        <v>6186</v>
      </c>
      <c r="J2946" s="1" t="str">
        <f>HYPERLINK("https://zfin.org/ZDB-GENE-060929-124")</f>
        <v>https://zfin.org/ZDB-GENE-060929-124</v>
      </c>
      <c r="K2946" t="s">
        <v>6188</v>
      </c>
    </row>
    <row r="2947" spans="1:11" x14ac:dyDescent="0.2">
      <c r="A2947">
        <v>1.9916294518813899E-9</v>
      </c>
      <c r="B2947">
        <v>-0.84719498080139799</v>
      </c>
      <c r="C2947">
        <v>0.13400000000000001</v>
      </c>
      <c r="D2947">
        <v>0.34499999999999997</v>
      </c>
      <c r="E2947">
        <v>3.0836398803479499E-5</v>
      </c>
      <c r="F2947">
        <v>7</v>
      </c>
      <c r="G2947" t="s">
        <v>483</v>
      </c>
      <c r="H2947" t="s">
        <v>484</v>
      </c>
      <c r="I2947" t="s">
        <v>483</v>
      </c>
      <c r="J2947" s="1" t="str">
        <f>HYPERLINK("https://zfin.org/ZDB-GENE-081028-55")</f>
        <v>https://zfin.org/ZDB-GENE-081028-55</v>
      </c>
      <c r="K2947" t="s">
        <v>485</v>
      </c>
    </row>
    <row r="2948" spans="1:11" x14ac:dyDescent="0.2">
      <c r="A2948">
        <v>2.1885824641840798E-9</v>
      </c>
      <c r="B2948">
        <v>0.266664281721052</v>
      </c>
      <c r="C2948">
        <v>1</v>
      </c>
      <c r="D2948">
        <v>0.98899999999999999</v>
      </c>
      <c r="E2948">
        <v>3.38858222929621E-5</v>
      </c>
      <c r="F2948">
        <v>7</v>
      </c>
      <c r="G2948" t="s">
        <v>821</v>
      </c>
      <c r="H2948" t="s">
        <v>822</v>
      </c>
      <c r="I2948" t="s">
        <v>821</v>
      </c>
      <c r="J2948" s="1" t="str">
        <f>HYPERLINK("https://zfin.org/ZDB-GENE-010328-2")</f>
        <v>https://zfin.org/ZDB-GENE-010328-2</v>
      </c>
      <c r="K2948" t="s">
        <v>823</v>
      </c>
    </row>
    <row r="2949" spans="1:11" x14ac:dyDescent="0.2">
      <c r="A2949">
        <v>2.30787032348024E-9</v>
      </c>
      <c r="B2949">
        <v>0.47055168673623099</v>
      </c>
      <c r="C2949">
        <v>0.36299999999999999</v>
      </c>
      <c r="D2949">
        <v>0.17599999999999999</v>
      </c>
      <c r="E2949">
        <v>3.5732756218444502E-5</v>
      </c>
      <c r="F2949">
        <v>7</v>
      </c>
      <c r="G2949" t="s">
        <v>6189</v>
      </c>
      <c r="H2949" t="s">
        <v>6190</v>
      </c>
      <c r="I2949" t="s">
        <v>6189</v>
      </c>
      <c r="J2949" s="1" t="str">
        <f>HYPERLINK("https://zfin.org/ZDB-GENE-040426-1760")</f>
        <v>https://zfin.org/ZDB-GENE-040426-1760</v>
      </c>
      <c r="K2949" t="s">
        <v>6191</v>
      </c>
    </row>
    <row r="2950" spans="1:11" x14ac:dyDescent="0.2">
      <c r="A2950">
        <v>2.3892146345560302E-9</v>
      </c>
      <c r="B2950">
        <v>-0.65862223194428304</v>
      </c>
      <c r="C2950">
        <v>0.14000000000000001</v>
      </c>
      <c r="D2950">
        <v>0.34899999999999998</v>
      </c>
      <c r="E2950">
        <v>3.6992210186831001E-5</v>
      </c>
      <c r="F2950">
        <v>7</v>
      </c>
      <c r="G2950" t="s">
        <v>6192</v>
      </c>
      <c r="H2950" t="s">
        <v>6193</v>
      </c>
      <c r="I2950" t="s">
        <v>6192</v>
      </c>
      <c r="J2950" s="1" t="str">
        <f>HYPERLINK("https://zfin.org/ZDB-GENE-010412-1")</f>
        <v>https://zfin.org/ZDB-GENE-010412-1</v>
      </c>
      <c r="K2950" t="s">
        <v>6194</v>
      </c>
    </row>
    <row r="2951" spans="1:11" x14ac:dyDescent="0.2">
      <c r="A2951">
        <v>2.3902184386098801E-9</v>
      </c>
      <c r="B2951">
        <v>0.45883741055414201</v>
      </c>
      <c r="C2951">
        <v>0.28499999999999998</v>
      </c>
      <c r="D2951">
        <v>0.124</v>
      </c>
      <c r="E2951">
        <v>3.7007752084996799E-5</v>
      </c>
      <c r="F2951">
        <v>7</v>
      </c>
      <c r="G2951" t="s">
        <v>6195</v>
      </c>
      <c r="H2951" t="s">
        <v>6196</v>
      </c>
      <c r="I2951" t="s">
        <v>6195</v>
      </c>
      <c r="J2951" s="1" t="str">
        <f>HYPERLINK("https://zfin.org/ZDB-GENE-030131-9877")</f>
        <v>https://zfin.org/ZDB-GENE-030131-9877</v>
      </c>
      <c r="K2951" t="s">
        <v>6197</v>
      </c>
    </row>
    <row r="2952" spans="1:11" x14ac:dyDescent="0.2">
      <c r="A2952">
        <v>2.3944126013114E-9</v>
      </c>
      <c r="B2952">
        <v>0.25601657762698199</v>
      </c>
      <c r="C2952">
        <v>0.96599999999999997</v>
      </c>
      <c r="D2952">
        <v>0.91100000000000003</v>
      </c>
      <c r="E2952">
        <v>3.70726903061044E-5</v>
      </c>
      <c r="F2952">
        <v>7</v>
      </c>
      <c r="G2952" t="s">
        <v>1342</v>
      </c>
      <c r="H2952" t="s">
        <v>1343</v>
      </c>
      <c r="I2952" t="s">
        <v>1342</v>
      </c>
      <c r="J2952" s="1" t="str">
        <f>HYPERLINK("https://zfin.org/ZDB-GENE-040426-2172")</f>
        <v>https://zfin.org/ZDB-GENE-040426-2172</v>
      </c>
      <c r="K2952" t="s">
        <v>1344</v>
      </c>
    </row>
    <row r="2953" spans="1:11" x14ac:dyDescent="0.2">
      <c r="A2953">
        <v>2.6604252792589799E-9</v>
      </c>
      <c r="B2953">
        <v>0.25944944749802901</v>
      </c>
      <c r="C2953">
        <v>0.96099999999999997</v>
      </c>
      <c r="D2953">
        <v>0.86899999999999999</v>
      </c>
      <c r="E2953">
        <v>4.1191364598766698E-5</v>
      </c>
      <c r="F2953">
        <v>7</v>
      </c>
      <c r="G2953" t="s">
        <v>1624</v>
      </c>
      <c r="H2953" t="s">
        <v>1625</v>
      </c>
      <c r="I2953" t="s">
        <v>1624</v>
      </c>
      <c r="J2953" s="1" t="str">
        <f>HYPERLINK("https://zfin.org/ZDB-GENE-990708-8")</f>
        <v>https://zfin.org/ZDB-GENE-990708-8</v>
      </c>
      <c r="K2953" t="s">
        <v>1626</v>
      </c>
    </row>
    <row r="2954" spans="1:11" x14ac:dyDescent="0.2">
      <c r="A2954">
        <v>2.7886814067193399E-9</v>
      </c>
      <c r="B2954">
        <v>-0.86612423965607899</v>
      </c>
      <c r="C2954">
        <v>0.27400000000000002</v>
      </c>
      <c r="D2954">
        <v>0.46899999999999997</v>
      </c>
      <c r="E2954">
        <v>4.3177154220235503E-5</v>
      </c>
      <c r="F2954">
        <v>7</v>
      </c>
      <c r="G2954" t="s">
        <v>1318</v>
      </c>
      <c r="H2954" t="s">
        <v>1319</v>
      </c>
      <c r="I2954" t="s">
        <v>1318</v>
      </c>
      <c r="J2954" s="1" t="str">
        <f>HYPERLINK("https://zfin.org/ZDB-GENE-040718-162")</f>
        <v>https://zfin.org/ZDB-GENE-040718-162</v>
      </c>
      <c r="K2954" t="s">
        <v>1320</v>
      </c>
    </row>
    <row r="2955" spans="1:11" x14ac:dyDescent="0.2">
      <c r="A2955">
        <v>2.7992224739528499E-9</v>
      </c>
      <c r="B2955">
        <v>0.44884062899352101</v>
      </c>
      <c r="C2955">
        <v>0.32400000000000001</v>
      </c>
      <c r="D2955">
        <v>0.157</v>
      </c>
      <c r="E2955">
        <v>4.3340361564212003E-5</v>
      </c>
      <c r="F2955">
        <v>7</v>
      </c>
      <c r="G2955" t="s">
        <v>2772</v>
      </c>
      <c r="H2955" t="s">
        <v>2773</v>
      </c>
      <c r="I2955" t="s">
        <v>2772</v>
      </c>
      <c r="J2955" s="1" t="str">
        <f>HYPERLINK("https://zfin.org/ZDB-GENE-001229-2")</f>
        <v>https://zfin.org/ZDB-GENE-001229-2</v>
      </c>
      <c r="K2955" t="s">
        <v>2774</v>
      </c>
    </row>
    <row r="2956" spans="1:11" x14ac:dyDescent="0.2">
      <c r="A2956">
        <v>2.9282759190954902E-9</v>
      </c>
      <c r="B2956">
        <v>-0.28698436445756897</v>
      </c>
      <c r="C2956">
        <v>0.95</v>
      </c>
      <c r="D2956">
        <v>0.96399999999999997</v>
      </c>
      <c r="E2956">
        <v>4.5338496055355401E-5</v>
      </c>
      <c r="F2956">
        <v>7</v>
      </c>
      <c r="G2956" t="s">
        <v>1840</v>
      </c>
      <c r="H2956" t="s">
        <v>1841</v>
      </c>
      <c r="I2956" t="s">
        <v>1840</v>
      </c>
      <c r="J2956" s="1" t="str">
        <f>HYPERLINK("https://zfin.org/ZDB-GENE-031001-9")</f>
        <v>https://zfin.org/ZDB-GENE-031001-9</v>
      </c>
      <c r="K2956" t="s">
        <v>1842</v>
      </c>
    </row>
    <row r="2957" spans="1:11" x14ac:dyDescent="0.2">
      <c r="A2957">
        <v>3.2276983597004999E-9</v>
      </c>
      <c r="B2957">
        <v>0.37185574283808398</v>
      </c>
      <c r="C2957">
        <v>0.14499999999999999</v>
      </c>
      <c r="D2957">
        <v>0.04</v>
      </c>
      <c r="E2957">
        <v>4.9974453703242801E-5</v>
      </c>
      <c r="F2957">
        <v>7</v>
      </c>
      <c r="G2957" t="s">
        <v>6198</v>
      </c>
      <c r="H2957" t="s">
        <v>6199</v>
      </c>
      <c r="I2957" t="s">
        <v>6198</v>
      </c>
      <c r="J2957" s="1" t="str">
        <f>HYPERLINK("https://zfin.org/ZDB-GENE-040426-1786")</f>
        <v>https://zfin.org/ZDB-GENE-040426-1786</v>
      </c>
      <c r="K2957" t="s">
        <v>6200</v>
      </c>
    </row>
    <row r="2958" spans="1:11" x14ac:dyDescent="0.2">
      <c r="A2958">
        <v>3.5018440029626599E-9</v>
      </c>
      <c r="B2958">
        <v>-0.25935278675565199</v>
      </c>
      <c r="C2958">
        <v>0.98299999999999998</v>
      </c>
      <c r="D2958">
        <v>0.996</v>
      </c>
      <c r="E2958">
        <v>5.42190506978709E-5</v>
      </c>
      <c r="F2958">
        <v>7</v>
      </c>
      <c r="G2958" t="s">
        <v>914</v>
      </c>
      <c r="H2958" t="s">
        <v>915</v>
      </c>
      <c r="I2958" t="s">
        <v>914</v>
      </c>
      <c r="J2958" s="1" t="str">
        <f>HYPERLINK("https://zfin.org/ZDB-GENE-030131-8663")</f>
        <v>https://zfin.org/ZDB-GENE-030131-8663</v>
      </c>
      <c r="K2958" t="s">
        <v>916</v>
      </c>
    </row>
    <row r="2959" spans="1:11" x14ac:dyDescent="0.2">
      <c r="A2959">
        <v>3.6683495877369398E-9</v>
      </c>
      <c r="B2959">
        <v>-0.71591740042501395</v>
      </c>
      <c r="C2959">
        <v>0.223</v>
      </c>
      <c r="D2959">
        <v>0.42899999999999999</v>
      </c>
      <c r="E2959">
        <v>5.6797056666931101E-5</v>
      </c>
      <c r="F2959">
        <v>7</v>
      </c>
      <c r="G2959" t="s">
        <v>3347</v>
      </c>
      <c r="H2959" t="s">
        <v>3348</v>
      </c>
      <c r="I2959" t="s">
        <v>3347</v>
      </c>
      <c r="J2959" s="1" t="str">
        <f>HYPERLINK("https://zfin.org/ZDB-GENE-030911-2")</f>
        <v>https://zfin.org/ZDB-GENE-030911-2</v>
      </c>
      <c r="K2959" t="s">
        <v>3349</v>
      </c>
    </row>
    <row r="2960" spans="1:11" x14ac:dyDescent="0.2">
      <c r="A2960">
        <v>3.6791653756044899E-9</v>
      </c>
      <c r="B2960">
        <v>-0.26752015557914799</v>
      </c>
      <c r="C2960">
        <v>0.98899999999999999</v>
      </c>
      <c r="D2960">
        <v>0.98699999999999999</v>
      </c>
      <c r="E2960">
        <v>5.69645175104843E-5</v>
      </c>
      <c r="F2960">
        <v>7</v>
      </c>
      <c r="G2960" t="s">
        <v>1393</v>
      </c>
      <c r="H2960" t="s">
        <v>1394</v>
      </c>
      <c r="I2960" t="s">
        <v>1393</v>
      </c>
      <c r="J2960" s="1" t="str">
        <f>HYPERLINK("https://zfin.org/ZDB-GENE-040426-1716")</f>
        <v>https://zfin.org/ZDB-GENE-040426-1716</v>
      </c>
      <c r="K2960" t="s">
        <v>1395</v>
      </c>
    </row>
    <row r="2961" spans="1:11" x14ac:dyDescent="0.2">
      <c r="A2961">
        <v>3.9778883726469397E-9</v>
      </c>
      <c r="B2961">
        <v>0.46051569983176499</v>
      </c>
      <c r="C2961">
        <v>0.14499999999999999</v>
      </c>
      <c r="D2961">
        <v>4.2000000000000003E-2</v>
      </c>
      <c r="E2961">
        <v>6.1589645673692595E-5</v>
      </c>
      <c r="F2961">
        <v>7</v>
      </c>
      <c r="G2961" t="s">
        <v>6201</v>
      </c>
      <c r="H2961" t="s">
        <v>6202</v>
      </c>
      <c r="I2961" t="s">
        <v>6201</v>
      </c>
      <c r="J2961" s="1" t="str">
        <f>HYPERLINK("https://zfin.org/ZDB-GENE-040426-1909")</f>
        <v>https://zfin.org/ZDB-GENE-040426-1909</v>
      </c>
      <c r="K2961" t="s">
        <v>6203</v>
      </c>
    </row>
    <row r="2962" spans="1:11" x14ac:dyDescent="0.2">
      <c r="A2962">
        <v>4.3315451502930396E-9</v>
      </c>
      <c r="B2962">
        <v>0.37348894207107303</v>
      </c>
      <c r="C2962">
        <v>0.69799999999999995</v>
      </c>
      <c r="D2962">
        <v>0.499</v>
      </c>
      <c r="E2962">
        <v>6.7065313561987094E-5</v>
      </c>
      <c r="F2962">
        <v>7</v>
      </c>
      <c r="G2962" t="s">
        <v>3053</v>
      </c>
      <c r="H2962" t="s">
        <v>3054</v>
      </c>
      <c r="I2962" t="s">
        <v>3053</v>
      </c>
      <c r="J2962" s="1" t="str">
        <f>HYPERLINK("https://zfin.org/ZDB-GENE-980526-320")</f>
        <v>https://zfin.org/ZDB-GENE-980526-320</v>
      </c>
      <c r="K2962" t="s">
        <v>3055</v>
      </c>
    </row>
    <row r="2963" spans="1:11" x14ac:dyDescent="0.2">
      <c r="A2963">
        <v>4.8598704980498004E-9</v>
      </c>
      <c r="B2963">
        <v>0.45623525764935902</v>
      </c>
      <c r="C2963">
        <v>0.24</v>
      </c>
      <c r="D2963">
        <v>9.5000000000000001E-2</v>
      </c>
      <c r="E2963">
        <v>7.5245374921304996E-5</v>
      </c>
      <c r="F2963">
        <v>7</v>
      </c>
      <c r="G2963" t="s">
        <v>6204</v>
      </c>
      <c r="H2963" t="s">
        <v>6205</v>
      </c>
      <c r="I2963" t="s">
        <v>6204</v>
      </c>
      <c r="J2963" s="1" t="str">
        <f>HYPERLINK("https://zfin.org/ZDB-GENE-120814-1")</f>
        <v>https://zfin.org/ZDB-GENE-120814-1</v>
      </c>
      <c r="K2963" t="s">
        <v>6206</v>
      </c>
    </row>
    <row r="2964" spans="1:11" x14ac:dyDescent="0.2">
      <c r="A2964">
        <v>4.8752030343682096E-9</v>
      </c>
      <c r="B2964">
        <v>0.44621940004506999</v>
      </c>
      <c r="C2964">
        <v>0.63700000000000001</v>
      </c>
      <c r="D2964">
        <v>0.45500000000000002</v>
      </c>
      <c r="E2964">
        <v>7.5482768581122906E-5</v>
      </c>
      <c r="F2964">
        <v>7</v>
      </c>
      <c r="G2964" t="s">
        <v>3350</v>
      </c>
      <c r="H2964" t="s">
        <v>3351</v>
      </c>
      <c r="I2964" t="s">
        <v>3350</v>
      </c>
      <c r="J2964" s="1" t="str">
        <f>HYPERLINK("https://zfin.org/ZDB-GENE-030131-6366")</f>
        <v>https://zfin.org/ZDB-GENE-030131-6366</v>
      </c>
      <c r="K2964" t="s">
        <v>3352</v>
      </c>
    </row>
    <row r="2965" spans="1:11" x14ac:dyDescent="0.2">
      <c r="A2965">
        <v>4.87545108122824E-9</v>
      </c>
      <c r="B2965">
        <v>0.38575062040000102</v>
      </c>
      <c r="C2965">
        <v>0.39700000000000002</v>
      </c>
      <c r="D2965">
        <v>0.19700000000000001</v>
      </c>
      <c r="E2965">
        <v>7.5486609090656806E-5</v>
      </c>
      <c r="F2965">
        <v>7</v>
      </c>
      <c r="G2965" t="s">
        <v>6207</v>
      </c>
      <c r="H2965" t="s">
        <v>6208</v>
      </c>
      <c r="I2965" t="s">
        <v>6207</v>
      </c>
      <c r="J2965" s="1" t="str">
        <f>HYPERLINK("https://zfin.org/ZDB-GENE-030131-1042")</f>
        <v>https://zfin.org/ZDB-GENE-030131-1042</v>
      </c>
      <c r="K2965" t="s">
        <v>6209</v>
      </c>
    </row>
    <row r="2966" spans="1:11" x14ac:dyDescent="0.2">
      <c r="A2966">
        <v>4.8777398124437797E-9</v>
      </c>
      <c r="B2966">
        <v>0.44287151869477398</v>
      </c>
      <c r="C2966">
        <v>0.14000000000000001</v>
      </c>
      <c r="D2966">
        <v>3.9E-2</v>
      </c>
      <c r="E2966">
        <v>7.5522045516067098E-5</v>
      </c>
      <c r="F2966">
        <v>7</v>
      </c>
      <c r="G2966" t="s">
        <v>6210</v>
      </c>
      <c r="H2966" t="s">
        <v>6211</v>
      </c>
      <c r="I2966" t="s">
        <v>6210</v>
      </c>
      <c r="J2966" s="1" t="str">
        <f>HYPERLINK("https://zfin.org/ZDB-GENE-131121-270")</f>
        <v>https://zfin.org/ZDB-GENE-131121-270</v>
      </c>
      <c r="K2966" t="s">
        <v>6212</v>
      </c>
    </row>
    <row r="2967" spans="1:11" x14ac:dyDescent="0.2">
      <c r="A2967">
        <v>5.2733941778707798E-9</v>
      </c>
      <c r="B2967">
        <v>0.36971266584234103</v>
      </c>
      <c r="C2967">
        <v>0.64200000000000002</v>
      </c>
      <c r="D2967">
        <v>0.435</v>
      </c>
      <c r="E2967">
        <v>8.1647962055973405E-5</v>
      </c>
      <c r="F2967">
        <v>7</v>
      </c>
      <c r="G2967" t="s">
        <v>6213</v>
      </c>
      <c r="H2967" t="s">
        <v>6214</v>
      </c>
      <c r="I2967" t="s">
        <v>6213</v>
      </c>
      <c r="J2967" s="1" t="str">
        <f>HYPERLINK("https://zfin.org/ZDB-GENE-030131-2767")</f>
        <v>https://zfin.org/ZDB-GENE-030131-2767</v>
      </c>
      <c r="K2967" t="s">
        <v>6215</v>
      </c>
    </row>
    <row r="2968" spans="1:11" x14ac:dyDescent="0.2">
      <c r="A2968">
        <v>5.2973110924138399E-9</v>
      </c>
      <c r="B2968">
        <v>0.471881897235847</v>
      </c>
      <c r="C2968">
        <v>0.38</v>
      </c>
      <c r="D2968">
        <v>0.20200000000000001</v>
      </c>
      <c r="E2968">
        <v>8.2018267643843394E-5</v>
      </c>
      <c r="F2968">
        <v>7</v>
      </c>
      <c r="G2968" t="s">
        <v>6216</v>
      </c>
      <c r="H2968" t="s">
        <v>6217</v>
      </c>
      <c r="I2968" t="s">
        <v>6216</v>
      </c>
      <c r="J2968" s="1" t="str">
        <f>HYPERLINK("https://zfin.org/ZDB-GENE-030516-3")</f>
        <v>https://zfin.org/ZDB-GENE-030516-3</v>
      </c>
      <c r="K2968" t="s">
        <v>6218</v>
      </c>
    </row>
    <row r="2969" spans="1:11" x14ac:dyDescent="0.2">
      <c r="A2969">
        <v>5.7222235794948701E-9</v>
      </c>
      <c r="B2969">
        <v>0.34014445643721802</v>
      </c>
      <c r="C2969">
        <v>0.45300000000000001</v>
      </c>
      <c r="D2969">
        <v>0.247</v>
      </c>
      <c r="E2969">
        <v>8.85971876813191E-5</v>
      </c>
      <c r="F2969">
        <v>7</v>
      </c>
      <c r="G2969" t="s">
        <v>6219</v>
      </c>
      <c r="H2969" t="s">
        <v>6220</v>
      </c>
      <c r="I2969" t="s">
        <v>6219</v>
      </c>
      <c r="J2969" s="1" t="str">
        <f>HYPERLINK("https://zfin.org/ZDB-GENE-041212-43")</f>
        <v>https://zfin.org/ZDB-GENE-041212-43</v>
      </c>
      <c r="K2969" t="s">
        <v>6221</v>
      </c>
    </row>
    <row r="2970" spans="1:11" x14ac:dyDescent="0.2">
      <c r="A2970">
        <v>6.2960637958967601E-9</v>
      </c>
      <c r="B2970">
        <v>0.390333778138795</v>
      </c>
      <c r="C2970">
        <v>0.58699999999999997</v>
      </c>
      <c r="D2970">
        <v>0.373</v>
      </c>
      <c r="E2970">
        <v>9.7481955751869503E-5</v>
      </c>
      <c r="F2970">
        <v>7</v>
      </c>
      <c r="G2970" t="s">
        <v>6222</v>
      </c>
      <c r="H2970" t="s">
        <v>6223</v>
      </c>
      <c r="I2970" t="s">
        <v>6222</v>
      </c>
      <c r="J2970" s="1" t="str">
        <f>HYPERLINK("https://zfin.org/ZDB-GENE-030131-5283")</f>
        <v>https://zfin.org/ZDB-GENE-030131-5283</v>
      </c>
      <c r="K2970" t="s">
        <v>6224</v>
      </c>
    </row>
    <row r="2971" spans="1:11" x14ac:dyDescent="0.2">
      <c r="A2971">
        <v>1.2125522955141999E-35</v>
      </c>
      <c r="B2971">
        <v>1.1771414181208999</v>
      </c>
      <c r="C2971">
        <v>0.97599999999999998</v>
      </c>
      <c r="D2971">
        <v>0.93600000000000005</v>
      </c>
      <c r="E2971">
        <v>1.8773947191446301E-31</v>
      </c>
      <c r="F2971">
        <v>8</v>
      </c>
      <c r="G2971" t="s">
        <v>2981</v>
      </c>
      <c r="H2971" t="s">
        <v>2982</v>
      </c>
      <c r="I2971" t="s">
        <v>2981</v>
      </c>
      <c r="J2971" s="1" t="str">
        <f>HYPERLINK("https://zfin.org/ZDB-GENE-121214-193")</f>
        <v>https://zfin.org/ZDB-GENE-121214-193</v>
      </c>
      <c r="K2971" t="s">
        <v>2983</v>
      </c>
    </row>
    <row r="2972" spans="1:11" x14ac:dyDescent="0.2">
      <c r="A2972">
        <v>2.7956263066960801E-33</v>
      </c>
      <c r="B2972">
        <v>0.93761644789315002</v>
      </c>
      <c r="C2972">
        <v>0.93500000000000005</v>
      </c>
      <c r="D2972">
        <v>0.498</v>
      </c>
      <c r="E2972">
        <v>4.3284682106575401E-29</v>
      </c>
      <c r="F2972">
        <v>8</v>
      </c>
      <c r="G2972" t="s">
        <v>2681</v>
      </c>
      <c r="H2972" t="s">
        <v>2682</v>
      </c>
      <c r="I2972" t="s">
        <v>2681</v>
      </c>
      <c r="J2972" s="1" t="str">
        <f>HYPERLINK("https://zfin.org/ZDB-GENE-030131-2159")</f>
        <v>https://zfin.org/ZDB-GENE-030131-2159</v>
      </c>
      <c r="K2972" t="s">
        <v>2683</v>
      </c>
    </row>
    <row r="2973" spans="1:11" x14ac:dyDescent="0.2">
      <c r="A2973">
        <v>3.0698575586171998E-28</v>
      </c>
      <c r="B2973">
        <v>0.72631551749697298</v>
      </c>
      <c r="C2973">
        <v>1</v>
      </c>
      <c r="D2973">
        <v>0.91800000000000004</v>
      </c>
      <c r="E2973">
        <v>4.7530604580070101E-24</v>
      </c>
      <c r="F2973">
        <v>8</v>
      </c>
      <c r="G2973" t="s">
        <v>1447</v>
      </c>
      <c r="H2973" t="s">
        <v>1448</v>
      </c>
      <c r="I2973" t="s">
        <v>1447</v>
      </c>
      <c r="J2973" s="1" t="str">
        <f>HYPERLINK("https://zfin.org/ZDB-GENE-040426-1508")</f>
        <v>https://zfin.org/ZDB-GENE-040426-1508</v>
      </c>
      <c r="K2973" t="s">
        <v>1449</v>
      </c>
    </row>
    <row r="2974" spans="1:11" x14ac:dyDescent="0.2">
      <c r="A2974">
        <v>3.91018751904968E-22</v>
      </c>
      <c r="B2974">
        <v>0.56471757834982095</v>
      </c>
      <c r="C2974">
        <v>0.95099999999999996</v>
      </c>
      <c r="D2974">
        <v>0.75800000000000001</v>
      </c>
      <c r="E2974">
        <v>6.0541433357446199E-18</v>
      </c>
      <c r="F2974">
        <v>8</v>
      </c>
      <c r="G2974" t="s">
        <v>2969</v>
      </c>
      <c r="H2974" t="s">
        <v>2970</v>
      </c>
      <c r="I2974" t="s">
        <v>2969</v>
      </c>
      <c r="J2974" s="1" t="str">
        <f>HYPERLINK("https://zfin.org/ZDB-GENE-070705-532")</f>
        <v>https://zfin.org/ZDB-GENE-070705-532</v>
      </c>
      <c r="K2974" t="s">
        <v>2971</v>
      </c>
    </row>
    <row r="2975" spans="1:11" x14ac:dyDescent="0.2">
      <c r="A2975">
        <v>9.9840800151547599E-21</v>
      </c>
      <c r="B2975">
        <v>0.66253232579451604</v>
      </c>
      <c r="C2975">
        <v>0.85399999999999998</v>
      </c>
      <c r="D2975">
        <v>0.504</v>
      </c>
      <c r="E2975">
        <v>1.54583510874641E-16</v>
      </c>
      <c r="F2975">
        <v>8</v>
      </c>
      <c r="G2975" t="s">
        <v>3002</v>
      </c>
      <c r="H2975" t="s">
        <v>3003</v>
      </c>
      <c r="I2975" t="s">
        <v>3002</v>
      </c>
      <c r="J2975" s="1" t="str">
        <f>HYPERLINK("https://zfin.org/ZDB-GENE-141215-49")</f>
        <v>https://zfin.org/ZDB-GENE-141215-49</v>
      </c>
      <c r="K2975" t="s">
        <v>3004</v>
      </c>
    </row>
    <row r="2976" spans="1:11" x14ac:dyDescent="0.2">
      <c r="A2976">
        <v>2.0495092771375801E-19</v>
      </c>
      <c r="B2976">
        <v>0.32075377392613103</v>
      </c>
      <c r="C2976">
        <v>0.93500000000000005</v>
      </c>
      <c r="D2976">
        <v>0.69</v>
      </c>
      <c r="E2976">
        <v>3.1732552137921099E-15</v>
      </c>
      <c r="F2976">
        <v>8</v>
      </c>
      <c r="G2976" t="s">
        <v>2428</v>
      </c>
      <c r="H2976" t="s">
        <v>2429</v>
      </c>
      <c r="I2976" t="s">
        <v>2428</v>
      </c>
      <c r="J2976" s="1" t="str">
        <f>HYPERLINK("https://zfin.org/ZDB-GENE-111109-2")</f>
        <v>https://zfin.org/ZDB-GENE-111109-2</v>
      </c>
      <c r="K2976" t="s">
        <v>2430</v>
      </c>
    </row>
    <row r="2977" spans="1:11" x14ac:dyDescent="0.2">
      <c r="A2977">
        <v>9.5328017365934192E-19</v>
      </c>
      <c r="B2977">
        <v>0.44072819502767802</v>
      </c>
      <c r="C2977">
        <v>1</v>
      </c>
      <c r="D2977">
        <v>1</v>
      </c>
      <c r="E2977">
        <v>1.47596369287676E-14</v>
      </c>
      <c r="F2977">
        <v>8</v>
      </c>
      <c r="G2977" t="s">
        <v>863</v>
      </c>
      <c r="H2977" t="s">
        <v>864</v>
      </c>
      <c r="I2977" t="s">
        <v>863</v>
      </c>
      <c r="J2977" s="1" t="str">
        <f>HYPERLINK("https://zfin.org/ZDB-GENE-130603-61")</f>
        <v>https://zfin.org/ZDB-GENE-130603-61</v>
      </c>
      <c r="K2977" t="s">
        <v>865</v>
      </c>
    </row>
    <row r="2978" spans="1:11" x14ac:dyDescent="0.2">
      <c r="A2978">
        <v>2.9306814839319201E-15</v>
      </c>
      <c r="B2978">
        <v>0.69959320119550295</v>
      </c>
      <c r="C2978">
        <v>0.51200000000000001</v>
      </c>
      <c r="D2978">
        <v>0.215</v>
      </c>
      <c r="E2978">
        <v>4.5375741415718002E-11</v>
      </c>
      <c r="F2978">
        <v>8</v>
      </c>
      <c r="G2978" t="s">
        <v>5922</v>
      </c>
      <c r="H2978" t="s">
        <v>5923</v>
      </c>
      <c r="I2978" t="s">
        <v>5922</v>
      </c>
      <c r="J2978" s="1" t="str">
        <f>HYPERLINK("https://zfin.org/ZDB-GENE-070705-193")</f>
        <v>https://zfin.org/ZDB-GENE-070705-193</v>
      </c>
      <c r="K2978" t="s">
        <v>5924</v>
      </c>
    </row>
    <row r="2979" spans="1:11" x14ac:dyDescent="0.2">
      <c r="A2979">
        <v>3.6469598957024298E-15</v>
      </c>
      <c r="B2979">
        <v>0.63994023568021197</v>
      </c>
      <c r="C2979">
        <v>0.65</v>
      </c>
      <c r="D2979">
        <v>0.309</v>
      </c>
      <c r="E2979">
        <v>5.64658800651607E-11</v>
      </c>
      <c r="F2979">
        <v>8</v>
      </c>
      <c r="G2979" t="s">
        <v>5881</v>
      </c>
      <c r="H2979" t="s">
        <v>5882</v>
      </c>
      <c r="I2979" t="s">
        <v>5881</v>
      </c>
      <c r="J2979" s="1" t="str">
        <f>HYPERLINK("https://zfin.org/")</f>
        <v>https://zfin.org/</v>
      </c>
    </row>
    <row r="2980" spans="1:11" x14ac:dyDescent="0.2">
      <c r="A2980">
        <v>3.71232455052454E-15</v>
      </c>
      <c r="B2980">
        <v>0.70956908901629001</v>
      </c>
      <c r="C2980">
        <v>0.77200000000000002</v>
      </c>
      <c r="D2980">
        <v>0.47199999999999998</v>
      </c>
      <c r="E2980">
        <v>5.74779210157714E-11</v>
      </c>
      <c r="F2980">
        <v>8</v>
      </c>
      <c r="G2980" t="s">
        <v>5907</v>
      </c>
      <c r="H2980" t="s">
        <v>5908</v>
      </c>
      <c r="I2980" t="s">
        <v>5907</v>
      </c>
      <c r="J2980" s="1" t="str">
        <f>HYPERLINK("https://zfin.org/ZDB-GENE-030131-688")</f>
        <v>https://zfin.org/ZDB-GENE-030131-688</v>
      </c>
      <c r="K2980" t="s">
        <v>5909</v>
      </c>
    </row>
    <row r="2981" spans="1:11" x14ac:dyDescent="0.2">
      <c r="A2981">
        <v>1.29466300161101E-14</v>
      </c>
      <c r="B2981">
        <v>0.61991437018573303</v>
      </c>
      <c r="C2981">
        <v>0.91100000000000003</v>
      </c>
      <c r="D2981">
        <v>0.755</v>
      </c>
      <c r="E2981">
        <v>2.00452672539433E-10</v>
      </c>
      <c r="F2981">
        <v>8</v>
      </c>
      <c r="G2981" t="s">
        <v>1901</v>
      </c>
      <c r="H2981" t="s">
        <v>1902</v>
      </c>
      <c r="I2981" t="s">
        <v>1901</v>
      </c>
      <c r="J2981" s="1" t="str">
        <f>HYPERLINK("https://zfin.org/ZDB-GENE-010129-1")</f>
        <v>https://zfin.org/ZDB-GENE-010129-1</v>
      </c>
      <c r="K2981" t="s">
        <v>1903</v>
      </c>
    </row>
    <row r="2982" spans="1:11" x14ac:dyDescent="0.2">
      <c r="A2982">
        <v>2.2493590546170799E-13</v>
      </c>
      <c r="B2982">
        <v>0.76527370401418604</v>
      </c>
      <c r="C2982">
        <v>0.53700000000000003</v>
      </c>
      <c r="D2982">
        <v>0.26800000000000002</v>
      </c>
      <c r="E2982">
        <v>3.48268262426363E-9</v>
      </c>
      <c r="F2982">
        <v>8</v>
      </c>
      <c r="G2982" t="s">
        <v>5867</v>
      </c>
      <c r="H2982" t="s">
        <v>5868</v>
      </c>
      <c r="I2982" t="s">
        <v>5867</v>
      </c>
      <c r="J2982" s="1" t="str">
        <f>HYPERLINK("https://zfin.org/")</f>
        <v>https://zfin.org/</v>
      </c>
    </row>
    <row r="2983" spans="1:11" x14ac:dyDescent="0.2">
      <c r="A2983">
        <v>2.6872687066786502E-13</v>
      </c>
      <c r="B2983">
        <v>0.60218987674268099</v>
      </c>
      <c r="C2983">
        <v>0.81299999999999994</v>
      </c>
      <c r="D2983">
        <v>0.56899999999999995</v>
      </c>
      <c r="E2983">
        <v>4.1606981385505503E-9</v>
      </c>
      <c r="F2983">
        <v>8</v>
      </c>
      <c r="G2983" t="s">
        <v>2826</v>
      </c>
      <c r="H2983" t="s">
        <v>2827</v>
      </c>
      <c r="I2983" t="s">
        <v>2826</v>
      </c>
      <c r="J2983" s="1" t="str">
        <f>HYPERLINK("https://zfin.org/ZDB-GENE-040426-2826")</f>
        <v>https://zfin.org/ZDB-GENE-040426-2826</v>
      </c>
      <c r="K2983" t="s">
        <v>2828</v>
      </c>
    </row>
    <row r="2984" spans="1:11" x14ac:dyDescent="0.2">
      <c r="A2984">
        <v>1.06189107004245E-12</v>
      </c>
      <c r="B2984">
        <v>0.54137488435291603</v>
      </c>
      <c r="C2984">
        <v>0.78900000000000003</v>
      </c>
      <c r="D2984">
        <v>0.50600000000000001</v>
      </c>
      <c r="E2984">
        <v>1.6441259437467299E-8</v>
      </c>
      <c r="F2984">
        <v>8</v>
      </c>
      <c r="G2984" t="s">
        <v>2975</v>
      </c>
      <c r="H2984" t="s">
        <v>2976</v>
      </c>
      <c r="I2984" t="s">
        <v>2975</v>
      </c>
      <c r="J2984" s="1" t="str">
        <f>HYPERLINK("https://zfin.org/ZDB-GENE-030131-9")</f>
        <v>https://zfin.org/ZDB-GENE-030131-9</v>
      </c>
      <c r="K2984" t="s">
        <v>2977</v>
      </c>
    </row>
    <row r="2985" spans="1:11" x14ac:dyDescent="0.2">
      <c r="A2985">
        <v>4.8867755530393202E-12</v>
      </c>
      <c r="B2985">
        <v>0.57766261221311099</v>
      </c>
      <c r="C2985">
        <v>0.74</v>
      </c>
      <c r="D2985">
        <v>0.495</v>
      </c>
      <c r="E2985">
        <v>7.5661945887707805E-8</v>
      </c>
      <c r="F2985">
        <v>8</v>
      </c>
      <c r="G2985" t="s">
        <v>2766</v>
      </c>
      <c r="H2985" t="s">
        <v>2767</v>
      </c>
      <c r="I2985" t="s">
        <v>2766</v>
      </c>
      <c r="J2985" s="1" t="str">
        <f>HYPERLINK("https://zfin.org/ZDB-GENE-041114-138")</f>
        <v>https://zfin.org/ZDB-GENE-041114-138</v>
      </c>
      <c r="K2985" t="s">
        <v>2768</v>
      </c>
    </row>
    <row r="2986" spans="1:11" x14ac:dyDescent="0.2">
      <c r="A2986">
        <v>1.25714992977742E-11</v>
      </c>
      <c r="B2986">
        <v>0.36859783889579401</v>
      </c>
      <c r="C2986">
        <v>0.57699999999999996</v>
      </c>
      <c r="D2986">
        <v>0.27</v>
      </c>
      <c r="E2986">
        <v>1.9464452362743801E-7</v>
      </c>
      <c r="F2986">
        <v>8</v>
      </c>
      <c r="G2986" t="s">
        <v>5892</v>
      </c>
      <c r="H2986" t="s">
        <v>5893</v>
      </c>
      <c r="I2986" t="s">
        <v>5892</v>
      </c>
      <c r="J2986" s="1" t="str">
        <f>HYPERLINK("https://zfin.org/ZDB-GENE-070112-292")</f>
        <v>https://zfin.org/ZDB-GENE-070112-292</v>
      </c>
      <c r="K2986" t="s">
        <v>5894</v>
      </c>
    </row>
    <row r="2987" spans="1:11" x14ac:dyDescent="0.2">
      <c r="A2987">
        <v>2.2754730790421099E-11</v>
      </c>
      <c r="B2987">
        <v>0.40269102115598998</v>
      </c>
      <c r="C2987">
        <v>0.94299999999999995</v>
      </c>
      <c r="D2987">
        <v>0.86899999999999999</v>
      </c>
      <c r="E2987">
        <v>3.5231149682808999E-7</v>
      </c>
      <c r="F2987">
        <v>8</v>
      </c>
      <c r="G2987" t="s">
        <v>1363</v>
      </c>
      <c r="H2987" t="s">
        <v>1364</v>
      </c>
      <c r="I2987" t="s">
        <v>1363</v>
      </c>
      <c r="J2987" s="1" t="str">
        <f>HYPERLINK("https://zfin.org/ZDB-GENE-031002-9")</f>
        <v>https://zfin.org/ZDB-GENE-031002-9</v>
      </c>
      <c r="K2987" t="s">
        <v>1365</v>
      </c>
    </row>
    <row r="2988" spans="1:11" x14ac:dyDescent="0.2">
      <c r="A2988">
        <v>4.2761330826241603E-11</v>
      </c>
      <c r="B2988">
        <v>0.56287435627728499</v>
      </c>
      <c r="C2988">
        <v>0.69899999999999995</v>
      </c>
      <c r="D2988">
        <v>0.43099999999999999</v>
      </c>
      <c r="E2988">
        <v>6.6207368518269804E-7</v>
      </c>
      <c r="F2988">
        <v>8</v>
      </c>
      <c r="G2988" t="s">
        <v>3326</v>
      </c>
      <c r="H2988" t="s">
        <v>3327</v>
      </c>
      <c r="I2988" t="s">
        <v>3326</v>
      </c>
      <c r="J2988" s="1" t="str">
        <f>HYPERLINK("https://zfin.org/ZDB-GENE-080829-12")</f>
        <v>https://zfin.org/ZDB-GENE-080829-12</v>
      </c>
      <c r="K2988" t="s">
        <v>3328</v>
      </c>
    </row>
    <row r="2989" spans="1:11" x14ac:dyDescent="0.2">
      <c r="A2989">
        <v>8.4081910616208494E-11</v>
      </c>
      <c r="B2989">
        <v>0.39625485278480399</v>
      </c>
      <c r="C2989">
        <v>0.95099999999999996</v>
      </c>
      <c r="D2989">
        <v>0.80800000000000005</v>
      </c>
      <c r="E2989">
        <v>1.30184022207076E-6</v>
      </c>
      <c r="F2989">
        <v>8</v>
      </c>
      <c r="G2989" t="s">
        <v>1814</v>
      </c>
      <c r="H2989" t="s">
        <v>1815</v>
      </c>
      <c r="I2989" t="s">
        <v>1814</v>
      </c>
      <c r="J2989" s="1" t="str">
        <f>HYPERLINK("https://zfin.org/ZDB-GENE-050522-73")</f>
        <v>https://zfin.org/ZDB-GENE-050522-73</v>
      </c>
      <c r="K2989" t="s">
        <v>1816</v>
      </c>
    </row>
    <row r="2990" spans="1:11" x14ac:dyDescent="0.2">
      <c r="A2990">
        <v>1.04540193727181E-10</v>
      </c>
      <c r="B2990">
        <v>0.62654826452297896</v>
      </c>
      <c r="C2990">
        <v>0.42299999999999999</v>
      </c>
      <c r="D2990">
        <v>0.191</v>
      </c>
      <c r="E2990">
        <v>1.6185958194779401E-6</v>
      </c>
      <c r="F2990">
        <v>8</v>
      </c>
      <c r="G2990" t="s">
        <v>5940</v>
      </c>
      <c r="H2990" t="s">
        <v>5941</v>
      </c>
      <c r="I2990" t="s">
        <v>5940</v>
      </c>
      <c r="J2990" s="1" t="str">
        <f>HYPERLINK("https://zfin.org/ZDB-GENE-131121-141")</f>
        <v>https://zfin.org/ZDB-GENE-131121-141</v>
      </c>
      <c r="K2990" t="s">
        <v>5942</v>
      </c>
    </row>
    <row r="2991" spans="1:11" x14ac:dyDescent="0.2">
      <c r="A2991">
        <v>1.9176789282617499E-10</v>
      </c>
      <c r="B2991">
        <v>0.34008677163182699</v>
      </c>
      <c r="C2991">
        <v>1</v>
      </c>
      <c r="D2991">
        <v>1</v>
      </c>
      <c r="E2991">
        <v>2.9691422846276702E-6</v>
      </c>
      <c r="F2991">
        <v>8</v>
      </c>
      <c r="G2991" t="s">
        <v>860</v>
      </c>
      <c r="H2991" t="s">
        <v>861</v>
      </c>
      <c r="I2991" t="s">
        <v>860</v>
      </c>
      <c r="J2991" s="1" t="str">
        <f>HYPERLINK("https://zfin.org/ZDB-GENE-080225-18")</f>
        <v>https://zfin.org/ZDB-GENE-080225-18</v>
      </c>
      <c r="K2991" t="s">
        <v>862</v>
      </c>
    </row>
    <row r="2992" spans="1:11" x14ac:dyDescent="0.2">
      <c r="A2992">
        <v>2.2274038515210399E-10</v>
      </c>
      <c r="B2992">
        <v>0.49632314646018999</v>
      </c>
      <c r="C2992">
        <v>0.63400000000000001</v>
      </c>
      <c r="D2992">
        <v>0.36599999999999999</v>
      </c>
      <c r="E2992">
        <v>3.4486893833100198E-6</v>
      </c>
      <c r="F2992">
        <v>8</v>
      </c>
      <c r="G2992" t="s">
        <v>3170</v>
      </c>
      <c r="H2992" t="s">
        <v>3171</v>
      </c>
      <c r="I2992" t="s">
        <v>3170</v>
      </c>
      <c r="J2992" s="1" t="str">
        <f>HYPERLINK("https://zfin.org/ZDB-GENE-090915-6")</f>
        <v>https://zfin.org/ZDB-GENE-090915-6</v>
      </c>
      <c r="K2992" t="s">
        <v>3172</v>
      </c>
    </row>
    <row r="2993" spans="1:11" x14ac:dyDescent="0.2">
      <c r="A2993">
        <v>2.4448781948155898E-10</v>
      </c>
      <c r="B2993">
        <v>0.36598338461143398</v>
      </c>
      <c r="C2993">
        <v>0.87</v>
      </c>
      <c r="D2993">
        <v>0.71399999999999997</v>
      </c>
      <c r="E2993">
        <v>3.7854049090329802E-6</v>
      </c>
      <c r="F2993">
        <v>8</v>
      </c>
      <c r="G2993" t="s">
        <v>3365</v>
      </c>
      <c r="H2993" t="s">
        <v>3366</v>
      </c>
      <c r="I2993" t="s">
        <v>3365</v>
      </c>
      <c r="J2993" s="1" t="str">
        <f>HYPERLINK("https://zfin.org/ZDB-GENE-030411-5")</f>
        <v>https://zfin.org/ZDB-GENE-030411-5</v>
      </c>
      <c r="K2993" t="s">
        <v>3367</v>
      </c>
    </row>
    <row r="2994" spans="1:11" x14ac:dyDescent="0.2">
      <c r="A2994">
        <v>3.2526070865829602E-10</v>
      </c>
      <c r="B2994">
        <v>-1.11263730603101</v>
      </c>
      <c r="C2994">
        <v>0.187</v>
      </c>
      <c r="D2994">
        <v>0.47</v>
      </c>
      <c r="E2994">
        <v>5.0360115521563997E-6</v>
      </c>
      <c r="F2994">
        <v>8</v>
      </c>
      <c r="G2994" t="s">
        <v>3299</v>
      </c>
      <c r="H2994" t="s">
        <v>3300</v>
      </c>
      <c r="I2994" t="s">
        <v>3299</v>
      </c>
      <c r="J2994" s="1" t="str">
        <f>HYPERLINK("https://zfin.org/ZDB-GENE-011212-6")</f>
        <v>https://zfin.org/ZDB-GENE-011212-6</v>
      </c>
      <c r="K2994" t="s">
        <v>3301</v>
      </c>
    </row>
    <row r="2995" spans="1:11" x14ac:dyDescent="0.2">
      <c r="A2995">
        <v>3.7693049008923001E-10</v>
      </c>
      <c r="B2995">
        <v>0.61649733573382304</v>
      </c>
      <c r="C2995">
        <v>0.43099999999999999</v>
      </c>
      <c r="D2995">
        <v>0.2</v>
      </c>
      <c r="E2995">
        <v>5.83601477805154E-6</v>
      </c>
      <c r="F2995">
        <v>8</v>
      </c>
      <c r="G2995" t="s">
        <v>6005</v>
      </c>
      <c r="H2995" t="s">
        <v>6006</v>
      </c>
      <c r="I2995" t="s">
        <v>6005</v>
      </c>
      <c r="J2995" s="1" t="str">
        <f>HYPERLINK("https://zfin.org/ZDB-GENE-040718-440")</f>
        <v>https://zfin.org/ZDB-GENE-040718-440</v>
      </c>
      <c r="K2995" t="s">
        <v>6007</v>
      </c>
    </row>
    <row r="2996" spans="1:11" x14ac:dyDescent="0.2">
      <c r="A2996">
        <v>1.1205783529385899E-9</v>
      </c>
      <c r="B2996">
        <v>0.35081014078525602</v>
      </c>
      <c r="C2996">
        <v>0.99199999999999999</v>
      </c>
      <c r="D2996">
        <v>0.93300000000000005</v>
      </c>
      <c r="E2996">
        <v>1.7349914638548299E-5</v>
      </c>
      <c r="F2996">
        <v>8</v>
      </c>
      <c r="G2996" t="s">
        <v>1438</v>
      </c>
      <c r="H2996" t="s">
        <v>1439</v>
      </c>
      <c r="I2996" t="s">
        <v>1438</v>
      </c>
      <c r="J2996" s="1" t="str">
        <f>HYPERLINK("https://zfin.org/ZDB-GENE-030131-1819")</f>
        <v>https://zfin.org/ZDB-GENE-030131-1819</v>
      </c>
      <c r="K2996" t="s">
        <v>1440</v>
      </c>
    </row>
    <row r="2997" spans="1:11" x14ac:dyDescent="0.2">
      <c r="A2997">
        <v>1.7000059342466601E-39</v>
      </c>
      <c r="B2997">
        <v>1.2437137690987901</v>
      </c>
      <c r="C2997">
        <v>1</v>
      </c>
      <c r="D2997">
        <v>0.93500000000000005</v>
      </c>
      <c r="E2997">
        <v>2.6321191879941002E-35</v>
      </c>
      <c r="F2997">
        <v>9</v>
      </c>
      <c r="G2997" t="s">
        <v>2981</v>
      </c>
      <c r="H2997" t="s">
        <v>2982</v>
      </c>
      <c r="I2997" t="s">
        <v>2981</v>
      </c>
      <c r="J2997" s="1" t="str">
        <f>HYPERLINK("https://zfin.org/ZDB-GENE-121214-193")</f>
        <v>https://zfin.org/ZDB-GENE-121214-193</v>
      </c>
      <c r="K2997" t="s">
        <v>2983</v>
      </c>
    </row>
    <row r="2998" spans="1:11" x14ac:dyDescent="0.2">
      <c r="A2998">
        <v>3.9998550988293297E-39</v>
      </c>
      <c r="B2998">
        <v>1.2711753253364999</v>
      </c>
      <c r="C2998">
        <v>1</v>
      </c>
      <c r="D2998">
        <v>0.75600000000000001</v>
      </c>
      <c r="E2998">
        <v>6.1929756495174503E-35</v>
      </c>
      <c r="F2998">
        <v>9</v>
      </c>
      <c r="G2998" t="s">
        <v>2969</v>
      </c>
      <c r="H2998" t="s">
        <v>2970</v>
      </c>
      <c r="I2998" t="s">
        <v>2969</v>
      </c>
      <c r="J2998" s="1" t="str">
        <f>HYPERLINK("https://zfin.org/ZDB-GENE-070705-532")</f>
        <v>https://zfin.org/ZDB-GENE-070705-532</v>
      </c>
      <c r="K2998" t="s">
        <v>2971</v>
      </c>
    </row>
    <row r="2999" spans="1:11" x14ac:dyDescent="0.2">
      <c r="A2999">
        <v>7.0039807379651801E-39</v>
      </c>
      <c r="B2999">
        <v>1.07198207647629</v>
      </c>
      <c r="C2999">
        <v>0.86199999999999999</v>
      </c>
      <c r="D2999">
        <v>0.29599999999999999</v>
      </c>
      <c r="E2999">
        <v>1.0844263376591499E-34</v>
      </c>
      <c r="F2999">
        <v>9</v>
      </c>
      <c r="G2999" t="s">
        <v>5881</v>
      </c>
      <c r="H2999" t="s">
        <v>5882</v>
      </c>
      <c r="I2999" t="s">
        <v>5881</v>
      </c>
      <c r="J2999" s="1" t="str">
        <f>HYPERLINK("https://zfin.org/")</f>
        <v>https://zfin.org/</v>
      </c>
    </row>
    <row r="3000" spans="1:11" x14ac:dyDescent="0.2">
      <c r="A3000">
        <v>6.4565280958309404E-37</v>
      </c>
      <c r="B3000">
        <v>1.26394251177732</v>
      </c>
      <c r="C3000">
        <v>0.95399999999999996</v>
      </c>
      <c r="D3000">
        <v>0.46100000000000002</v>
      </c>
      <c r="E3000">
        <v>9.9966424507750407E-33</v>
      </c>
      <c r="F3000">
        <v>9</v>
      </c>
      <c r="G3000" t="s">
        <v>5907</v>
      </c>
      <c r="H3000" t="s">
        <v>5908</v>
      </c>
      <c r="I3000" t="s">
        <v>5907</v>
      </c>
      <c r="J3000" s="1" t="str">
        <f>HYPERLINK("https://zfin.org/ZDB-GENE-030131-688")</f>
        <v>https://zfin.org/ZDB-GENE-030131-688</v>
      </c>
      <c r="K3000" t="s">
        <v>5909</v>
      </c>
    </row>
    <row r="3001" spans="1:11" x14ac:dyDescent="0.2">
      <c r="A3001">
        <v>3.3798481744113198E-35</v>
      </c>
      <c r="B3001">
        <v>1.02623344392281</v>
      </c>
      <c r="C3001">
        <v>0.80700000000000005</v>
      </c>
      <c r="D3001">
        <v>0.27300000000000002</v>
      </c>
      <c r="E3001">
        <v>5.2330189284410399E-31</v>
      </c>
      <c r="F3001">
        <v>9</v>
      </c>
      <c r="G3001" t="s">
        <v>5889</v>
      </c>
      <c r="H3001" t="s">
        <v>5890</v>
      </c>
      <c r="I3001" t="s">
        <v>5889</v>
      </c>
      <c r="J3001" s="1" t="str">
        <f>HYPERLINK("https://zfin.org/ZDB-GENE-070720-11")</f>
        <v>https://zfin.org/ZDB-GENE-070720-11</v>
      </c>
      <c r="K3001" t="s">
        <v>5891</v>
      </c>
    </row>
    <row r="3002" spans="1:11" x14ac:dyDescent="0.2">
      <c r="A3002">
        <v>4.6078527226726701E-34</v>
      </c>
      <c r="B3002">
        <v>1.0191505577779501</v>
      </c>
      <c r="C3002">
        <v>0.78</v>
      </c>
      <c r="D3002">
        <v>0.252</v>
      </c>
      <c r="E3002">
        <v>7.1343383705140897E-30</v>
      </c>
      <c r="F3002">
        <v>9</v>
      </c>
      <c r="G3002" t="s">
        <v>5867</v>
      </c>
      <c r="H3002" t="s">
        <v>5868</v>
      </c>
      <c r="I3002" t="s">
        <v>5867</v>
      </c>
      <c r="J3002" s="1" t="str">
        <f>HYPERLINK("https://zfin.org/")</f>
        <v>https://zfin.org/</v>
      </c>
    </row>
    <row r="3003" spans="1:11" x14ac:dyDescent="0.2">
      <c r="A3003">
        <v>6.1811222313701699E-34</v>
      </c>
      <c r="B3003">
        <v>1.038054232436</v>
      </c>
      <c r="C3003">
        <v>0.93600000000000005</v>
      </c>
      <c r="D3003">
        <v>0.502</v>
      </c>
      <c r="E3003">
        <v>9.5702315508304402E-30</v>
      </c>
      <c r="F3003">
        <v>9</v>
      </c>
      <c r="G3003" t="s">
        <v>2681</v>
      </c>
      <c r="H3003" t="s">
        <v>2682</v>
      </c>
      <c r="I3003" t="s">
        <v>2681</v>
      </c>
      <c r="J3003" s="1" t="str">
        <f>HYPERLINK("https://zfin.org/ZDB-GENE-030131-2159")</f>
        <v>https://zfin.org/ZDB-GENE-030131-2159</v>
      </c>
      <c r="K3003" t="s">
        <v>2683</v>
      </c>
    </row>
    <row r="3004" spans="1:11" x14ac:dyDescent="0.2">
      <c r="A3004">
        <v>6.6349028902404201E-33</v>
      </c>
      <c r="B3004">
        <v>0.98022674145780198</v>
      </c>
      <c r="C3004">
        <v>0.98199999999999998</v>
      </c>
      <c r="D3004">
        <v>0.68799999999999994</v>
      </c>
      <c r="E3004">
        <v>1.02728201449592E-28</v>
      </c>
      <c r="F3004">
        <v>9</v>
      </c>
      <c r="G3004" t="s">
        <v>2428</v>
      </c>
      <c r="H3004" t="s">
        <v>2429</v>
      </c>
      <c r="I3004" t="s">
        <v>2428</v>
      </c>
      <c r="J3004" s="1" t="str">
        <f>HYPERLINK("https://zfin.org/ZDB-GENE-111109-2")</f>
        <v>https://zfin.org/ZDB-GENE-111109-2</v>
      </c>
      <c r="K3004" t="s">
        <v>2430</v>
      </c>
    </row>
    <row r="3005" spans="1:11" x14ac:dyDescent="0.2">
      <c r="A3005">
        <v>8.1856345720041602E-32</v>
      </c>
      <c r="B3005">
        <v>0.81342760307533701</v>
      </c>
      <c r="C3005">
        <v>1</v>
      </c>
      <c r="D3005">
        <v>0.91900000000000004</v>
      </c>
      <c r="E3005">
        <v>1.2673818007834001E-27</v>
      </c>
      <c r="F3005">
        <v>9</v>
      </c>
      <c r="G3005" t="s">
        <v>1447</v>
      </c>
      <c r="H3005" t="s">
        <v>1448</v>
      </c>
      <c r="I3005" t="s">
        <v>1447</v>
      </c>
      <c r="J3005" s="1" t="str">
        <f>HYPERLINK("https://zfin.org/ZDB-GENE-040426-1508")</f>
        <v>https://zfin.org/ZDB-GENE-040426-1508</v>
      </c>
      <c r="K3005" t="s">
        <v>1449</v>
      </c>
    </row>
    <row r="3006" spans="1:11" x14ac:dyDescent="0.2">
      <c r="A3006">
        <v>3.1204795976365102E-29</v>
      </c>
      <c r="B3006">
        <v>0.89863292084461499</v>
      </c>
      <c r="C3006">
        <v>0.93600000000000005</v>
      </c>
      <c r="D3006">
        <v>0.501</v>
      </c>
      <c r="E3006">
        <v>4.8314385610206103E-25</v>
      </c>
      <c r="F3006">
        <v>9</v>
      </c>
      <c r="G3006" t="s">
        <v>3002</v>
      </c>
      <c r="H3006" t="s">
        <v>3003</v>
      </c>
      <c r="I3006" t="s">
        <v>3002</v>
      </c>
      <c r="J3006" s="1" t="str">
        <f>HYPERLINK("https://zfin.org/ZDB-GENE-141215-49")</f>
        <v>https://zfin.org/ZDB-GENE-141215-49</v>
      </c>
      <c r="K3006" t="s">
        <v>3004</v>
      </c>
    </row>
    <row r="3007" spans="1:11" x14ac:dyDescent="0.2">
      <c r="A3007">
        <v>6.2557475215828501E-23</v>
      </c>
      <c r="B3007">
        <v>0.94410560379208996</v>
      </c>
      <c r="C3007">
        <v>0.82599999999999996</v>
      </c>
      <c r="D3007">
        <v>0.42399999999999999</v>
      </c>
      <c r="E3007">
        <v>9.6857738876667307E-19</v>
      </c>
      <c r="F3007">
        <v>9</v>
      </c>
      <c r="G3007" t="s">
        <v>3326</v>
      </c>
      <c r="H3007" t="s">
        <v>3327</v>
      </c>
      <c r="I3007" t="s">
        <v>3326</v>
      </c>
      <c r="J3007" s="1" t="str">
        <f>HYPERLINK("https://zfin.org/ZDB-GENE-080829-12")</f>
        <v>https://zfin.org/ZDB-GENE-080829-12</v>
      </c>
      <c r="K3007" t="s">
        <v>3328</v>
      </c>
    </row>
    <row r="3008" spans="1:11" x14ac:dyDescent="0.2">
      <c r="A3008">
        <v>2.7412204826201801E-22</v>
      </c>
      <c r="B3008">
        <v>0.68447631785747398</v>
      </c>
      <c r="C3008">
        <v>0.624</v>
      </c>
      <c r="D3008">
        <v>0.21</v>
      </c>
      <c r="E3008">
        <v>4.2442316732408299E-18</v>
      </c>
      <c r="F3008">
        <v>9</v>
      </c>
      <c r="G3008" t="s">
        <v>5922</v>
      </c>
      <c r="H3008" t="s">
        <v>5923</v>
      </c>
      <c r="I3008" t="s">
        <v>5922</v>
      </c>
      <c r="J3008" s="1" t="str">
        <f>HYPERLINK("https://zfin.org/ZDB-GENE-070705-193")</f>
        <v>https://zfin.org/ZDB-GENE-070705-193</v>
      </c>
      <c r="K3008" t="s">
        <v>5924</v>
      </c>
    </row>
    <row r="3009" spans="1:11" x14ac:dyDescent="0.2">
      <c r="A3009">
        <v>5.4926121099912503E-22</v>
      </c>
      <c r="B3009">
        <v>0.58020665308277397</v>
      </c>
      <c r="C3009">
        <v>1</v>
      </c>
      <c r="D3009">
        <v>1</v>
      </c>
      <c r="E3009">
        <v>8.5042113298994494E-18</v>
      </c>
      <c r="F3009">
        <v>9</v>
      </c>
      <c r="G3009" t="s">
        <v>863</v>
      </c>
      <c r="H3009" t="s">
        <v>864</v>
      </c>
      <c r="I3009" t="s">
        <v>863</v>
      </c>
      <c r="J3009" s="1" t="str">
        <f>HYPERLINK("https://zfin.org/ZDB-GENE-130603-61")</f>
        <v>https://zfin.org/ZDB-GENE-130603-61</v>
      </c>
      <c r="K3009" t="s">
        <v>865</v>
      </c>
    </row>
    <row r="3010" spans="1:11" x14ac:dyDescent="0.2">
      <c r="A3010">
        <v>6.6011763167713099E-22</v>
      </c>
      <c r="B3010">
        <v>0.69475510306465205</v>
      </c>
      <c r="C3010">
        <v>0.70599999999999996</v>
      </c>
      <c r="D3010">
        <v>0.26300000000000001</v>
      </c>
      <c r="E3010">
        <v>1.0220601291256999E-17</v>
      </c>
      <c r="F3010">
        <v>9</v>
      </c>
      <c r="G3010" t="s">
        <v>5892</v>
      </c>
      <c r="H3010" t="s">
        <v>5893</v>
      </c>
      <c r="I3010" t="s">
        <v>5892</v>
      </c>
      <c r="J3010" s="1" t="str">
        <f>HYPERLINK("https://zfin.org/ZDB-GENE-070112-292")</f>
        <v>https://zfin.org/ZDB-GENE-070112-292</v>
      </c>
      <c r="K3010" t="s">
        <v>5894</v>
      </c>
    </row>
    <row r="3011" spans="1:11" x14ac:dyDescent="0.2">
      <c r="A3011">
        <v>9.1864512534082395E-22</v>
      </c>
      <c r="B3011">
        <v>0.73044032834056905</v>
      </c>
      <c r="C3011">
        <v>0.42199999999999999</v>
      </c>
      <c r="D3011">
        <v>0.10299999999999999</v>
      </c>
      <c r="E3011">
        <v>1.4223382475652E-17</v>
      </c>
      <c r="F3011">
        <v>9</v>
      </c>
      <c r="G3011" t="s">
        <v>5943</v>
      </c>
      <c r="H3011" t="s">
        <v>5944</v>
      </c>
      <c r="I3011" t="s">
        <v>5943</v>
      </c>
      <c r="J3011" s="1" t="str">
        <f>HYPERLINK("https://zfin.org/ZDB-GENE-110718-2")</f>
        <v>https://zfin.org/ZDB-GENE-110718-2</v>
      </c>
      <c r="K3011" t="s">
        <v>5945</v>
      </c>
    </row>
    <row r="3012" spans="1:11" x14ac:dyDescent="0.2">
      <c r="A3012">
        <v>1.9857012456375601E-21</v>
      </c>
      <c r="B3012">
        <v>0.75150100848104895</v>
      </c>
      <c r="C3012">
        <v>0.74299999999999999</v>
      </c>
      <c r="D3012">
        <v>0.32400000000000001</v>
      </c>
      <c r="E3012">
        <v>3.07446123862063E-17</v>
      </c>
      <c r="F3012">
        <v>9</v>
      </c>
      <c r="G3012" t="s">
        <v>5901</v>
      </c>
      <c r="H3012" t="s">
        <v>5902</v>
      </c>
      <c r="I3012" t="s">
        <v>5901</v>
      </c>
      <c r="J3012" s="1" t="str">
        <f>HYPERLINK("https://zfin.org/ZDB-GENE-030411-6")</f>
        <v>https://zfin.org/ZDB-GENE-030411-6</v>
      </c>
      <c r="K3012" t="s">
        <v>5903</v>
      </c>
    </row>
    <row r="3013" spans="1:11" x14ac:dyDescent="0.2">
      <c r="A3013">
        <v>4.7546652467655399E-21</v>
      </c>
      <c r="B3013">
        <v>0.69662038138786597</v>
      </c>
      <c r="C3013">
        <v>0.95399999999999996</v>
      </c>
      <c r="D3013">
        <v>0.70899999999999996</v>
      </c>
      <c r="E3013">
        <v>7.3616482015670903E-17</v>
      </c>
      <c r="F3013">
        <v>9</v>
      </c>
      <c r="G3013" t="s">
        <v>3365</v>
      </c>
      <c r="H3013" t="s">
        <v>3366</v>
      </c>
      <c r="I3013" t="s">
        <v>3365</v>
      </c>
      <c r="J3013" s="1" t="str">
        <f>HYPERLINK("https://zfin.org/ZDB-GENE-030411-5")</f>
        <v>https://zfin.org/ZDB-GENE-030411-5</v>
      </c>
      <c r="K3013" t="s">
        <v>3367</v>
      </c>
    </row>
    <row r="3014" spans="1:11" x14ac:dyDescent="0.2">
      <c r="A3014">
        <v>7.5724452417890801E-20</v>
      </c>
      <c r="B3014">
        <v>0.80369375176518298</v>
      </c>
      <c r="C3014">
        <v>0.88100000000000001</v>
      </c>
      <c r="D3014">
        <v>0.56699999999999995</v>
      </c>
      <c r="E3014">
        <v>1.1724416967862001E-15</v>
      </c>
      <c r="F3014">
        <v>9</v>
      </c>
      <c r="G3014" t="s">
        <v>2826</v>
      </c>
      <c r="H3014" t="s">
        <v>2827</v>
      </c>
      <c r="I3014" t="s">
        <v>2826</v>
      </c>
      <c r="J3014" s="1" t="str">
        <f>HYPERLINK("https://zfin.org/ZDB-GENE-040426-2826")</f>
        <v>https://zfin.org/ZDB-GENE-040426-2826</v>
      </c>
      <c r="K3014" t="s">
        <v>2828</v>
      </c>
    </row>
    <row r="3015" spans="1:11" x14ac:dyDescent="0.2">
      <c r="A3015">
        <v>8.7917852303345503E-20</v>
      </c>
      <c r="B3015">
        <v>0.69754085369428398</v>
      </c>
      <c r="C3015">
        <v>0.89</v>
      </c>
      <c r="D3015">
        <v>0.501</v>
      </c>
      <c r="E3015">
        <v>1.3612321072127001E-15</v>
      </c>
      <c r="F3015">
        <v>9</v>
      </c>
      <c r="G3015" t="s">
        <v>2975</v>
      </c>
      <c r="H3015" t="s">
        <v>2976</v>
      </c>
      <c r="I3015" t="s">
        <v>2975</v>
      </c>
      <c r="J3015" s="1" t="str">
        <f>HYPERLINK("https://zfin.org/ZDB-GENE-030131-9")</f>
        <v>https://zfin.org/ZDB-GENE-030131-9</v>
      </c>
      <c r="K3015" t="s">
        <v>2977</v>
      </c>
    </row>
    <row r="3016" spans="1:11" x14ac:dyDescent="0.2">
      <c r="A3016">
        <v>4.28491983444049E-19</v>
      </c>
      <c r="B3016">
        <v>0.72526797557695799</v>
      </c>
      <c r="C3016">
        <v>0.59599999999999997</v>
      </c>
      <c r="D3016">
        <v>0.222</v>
      </c>
      <c r="E3016">
        <v>6.6343413796642097E-15</v>
      </c>
      <c r="F3016">
        <v>9</v>
      </c>
      <c r="G3016" t="s">
        <v>5928</v>
      </c>
      <c r="H3016" t="s">
        <v>5929</v>
      </c>
      <c r="I3016" t="s">
        <v>5928</v>
      </c>
      <c r="J3016" s="1" t="str">
        <f>HYPERLINK("https://zfin.org/ZDB-GENE-030131-9149")</f>
        <v>https://zfin.org/ZDB-GENE-030131-9149</v>
      </c>
      <c r="K3016" t="s">
        <v>5930</v>
      </c>
    </row>
    <row r="3017" spans="1:11" x14ac:dyDescent="0.2">
      <c r="A3017">
        <v>1.0391054849219199E-17</v>
      </c>
      <c r="B3017">
        <v>0.66361521097352205</v>
      </c>
      <c r="C3017">
        <v>0.96299999999999997</v>
      </c>
      <c r="D3017">
        <v>0.80800000000000005</v>
      </c>
      <c r="E3017">
        <v>1.60884702230461E-13</v>
      </c>
      <c r="F3017">
        <v>9</v>
      </c>
      <c r="G3017" t="s">
        <v>1814</v>
      </c>
      <c r="H3017" t="s">
        <v>1815</v>
      </c>
      <c r="I3017" t="s">
        <v>1814</v>
      </c>
      <c r="J3017" s="1" t="str">
        <f>HYPERLINK("https://zfin.org/ZDB-GENE-050522-73")</f>
        <v>https://zfin.org/ZDB-GENE-050522-73</v>
      </c>
      <c r="K3017" t="s">
        <v>1816</v>
      </c>
    </row>
    <row r="3018" spans="1:11" x14ac:dyDescent="0.2">
      <c r="A3018">
        <v>1.1920192958268599E-16</v>
      </c>
      <c r="B3018">
        <v>0.62688363097879796</v>
      </c>
      <c r="C3018">
        <v>0.33</v>
      </c>
      <c r="D3018">
        <v>8.4000000000000005E-2</v>
      </c>
      <c r="E3018">
        <v>1.8456034757287301E-12</v>
      </c>
      <c r="F3018">
        <v>9</v>
      </c>
      <c r="G3018" t="s">
        <v>5937</v>
      </c>
      <c r="H3018" t="s">
        <v>5938</v>
      </c>
      <c r="I3018" t="s">
        <v>5937</v>
      </c>
      <c r="J3018" s="1" t="str">
        <f>HYPERLINK("https://zfin.org/ZDB-GENE-050417-409")</f>
        <v>https://zfin.org/ZDB-GENE-050417-409</v>
      </c>
      <c r="K3018" t="s">
        <v>5939</v>
      </c>
    </row>
    <row r="3019" spans="1:11" x14ac:dyDescent="0.2">
      <c r="A3019">
        <v>1.5583559301035801E-15</v>
      </c>
      <c r="B3019">
        <v>0.60926989148882205</v>
      </c>
      <c r="C3019">
        <v>0.85299999999999998</v>
      </c>
      <c r="D3019">
        <v>0.53100000000000003</v>
      </c>
      <c r="E3019">
        <v>2.4128024865793699E-11</v>
      </c>
      <c r="F3019">
        <v>9</v>
      </c>
      <c r="G3019" t="s">
        <v>2210</v>
      </c>
      <c r="H3019" t="s">
        <v>2211</v>
      </c>
      <c r="I3019" t="s">
        <v>2210</v>
      </c>
      <c r="J3019" s="1" t="str">
        <f>HYPERLINK("https://zfin.org/")</f>
        <v>https://zfin.org/</v>
      </c>
    </row>
    <row r="3020" spans="1:11" x14ac:dyDescent="0.2">
      <c r="A3020">
        <v>6.3148825634131599E-15</v>
      </c>
      <c r="B3020">
        <v>0.55363025988578296</v>
      </c>
      <c r="C3020">
        <v>0.38500000000000001</v>
      </c>
      <c r="D3020">
        <v>0.11700000000000001</v>
      </c>
      <c r="E3020">
        <v>9.7773326729325995E-11</v>
      </c>
      <c r="F3020">
        <v>9</v>
      </c>
      <c r="G3020" t="s">
        <v>5925</v>
      </c>
      <c r="H3020" t="s">
        <v>5926</v>
      </c>
      <c r="I3020" t="s">
        <v>5925</v>
      </c>
      <c r="J3020" s="1" t="str">
        <f>HYPERLINK("https://zfin.org/ZDB-GENE-100921-8")</f>
        <v>https://zfin.org/ZDB-GENE-100921-8</v>
      </c>
      <c r="K3020" t="s">
        <v>5927</v>
      </c>
    </row>
    <row r="3021" spans="1:11" x14ac:dyDescent="0.2">
      <c r="A3021">
        <v>1.4444854182648001E-14</v>
      </c>
      <c r="B3021">
        <v>0.51901874938219805</v>
      </c>
      <c r="C3021">
        <v>0.53200000000000003</v>
      </c>
      <c r="D3021">
        <v>0.20300000000000001</v>
      </c>
      <c r="E3021">
        <v>2.23649677309939E-10</v>
      </c>
      <c r="F3021">
        <v>9</v>
      </c>
      <c r="G3021" t="s">
        <v>6008</v>
      </c>
      <c r="H3021" t="s">
        <v>6009</v>
      </c>
      <c r="I3021" t="s">
        <v>6008</v>
      </c>
      <c r="J3021" s="1" t="str">
        <f>HYPERLINK("https://zfin.org/ZDB-GENE-040801-58")</f>
        <v>https://zfin.org/ZDB-GENE-040801-58</v>
      </c>
      <c r="K3021" t="s">
        <v>6010</v>
      </c>
    </row>
    <row r="3022" spans="1:11" x14ac:dyDescent="0.2">
      <c r="A3022">
        <v>1.3780708835068799E-13</v>
      </c>
      <c r="B3022">
        <v>0.467224166744372</v>
      </c>
      <c r="C3022">
        <v>1</v>
      </c>
      <c r="D3022">
        <v>0.86499999999999999</v>
      </c>
      <c r="E3022">
        <v>2.1336671489337001E-9</v>
      </c>
      <c r="F3022">
        <v>9</v>
      </c>
      <c r="G3022" t="s">
        <v>1363</v>
      </c>
      <c r="H3022" t="s">
        <v>1364</v>
      </c>
      <c r="I3022" t="s">
        <v>1363</v>
      </c>
      <c r="J3022" s="1" t="str">
        <f>HYPERLINK("https://zfin.org/ZDB-GENE-031002-9")</f>
        <v>https://zfin.org/ZDB-GENE-031002-9</v>
      </c>
      <c r="K3022" t="s">
        <v>1365</v>
      </c>
    </row>
    <row r="3023" spans="1:11" x14ac:dyDescent="0.2">
      <c r="A3023">
        <v>2.4786645462563201E-13</v>
      </c>
      <c r="B3023">
        <v>0.34746485905193403</v>
      </c>
      <c r="C3023">
        <v>0.21099999999999999</v>
      </c>
      <c r="D3023">
        <v>4.2999999999999997E-2</v>
      </c>
      <c r="E3023">
        <v>3.8377163169686498E-9</v>
      </c>
      <c r="F3023">
        <v>9</v>
      </c>
      <c r="G3023" t="s">
        <v>6225</v>
      </c>
      <c r="H3023" t="s">
        <v>6226</v>
      </c>
      <c r="I3023" t="s">
        <v>6225</v>
      </c>
      <c r="J3023" s="1" t="str">
        <f>HYPERLINK("https://zfin.org/ZDB-GENE-060503-779")</f>
        <v>https://zfin.org/ZDB-GENE-060503-779</v>
      </c>
      <c r="K3023" t="s">
        <v>6227</v>
      </c>
    </row>
    <row r="3024" spans="1:11" x14ac:dyDescent="0.2">
      <c r="A3024">
        <v>3.5478418865553701E-13</v>
      </c>
      <c r="B3024">
        <v>0.60526087154413699</v>
      </c>
      <c r="C3024">
        <v>0.67900000000000005</v>
      </c>
      <c r="D3024">
        <v>0.33800000000000002</v>
      </c>
      <c r="E3024">
        <v>5.4931235929536798E-9</v>
      </c>
      <c r="F3024">
        <v>9</v>
      </c>
      <c r="G3024" t="s">
        <v>5603</v>
      </c>
      <c r="H3024" t="s">
        <v>5604</v>
      </c>
      <c r="I3024" t="s">
        <v>5603</v>
      </c>
      <c r="J3024" s="1" t="str">
        <f>HYPERLINK("https://zfin.org/ZDB-GENE-980605-16")</f>
        <v>https://zfin.org/ZDB-GENE-980605-16</v>
      </c>
      <c r="K3024" t="s">
        <v>5605</v>
      </c>
    </row>
    <row r="3025" spans="1:11" x14ac:dyDescent="0.2">
      <c r="A3025">
        <v>8.0728510899965104E-13</v>
      </c>
      <c r="B3025">
        <v>0.58738204433194996</v>
      </c>
      <c r="C3025">
        <v>0.872</v>
      </c>
      <c r="D3025">
        <v>0.77800000000000002</v>
      </c>
      <c r="E3025">
        <v>1.24991953426416E-8</v>
      </c>
      <c r="F3025">
        <v>9</v>
      </c>
      <c r="G3025" t="s">
        <v>2123</v>
      </c>
      <c r="H3025" t="s">
        <v>2124</v>
      </c>
      <c r="I3025" t="s">
        <v>2123</v>
      </c>
      <c r="J3025" s="1" t="str">
        <f>HYPERLINK("https://zfin.org/ZDB-GENE-141222-6")</f>
        <v>https://zfin.org/ZDB-GENE-141222-6</v>
      </c>
      <c r="K3025" t="s">
        <v>2125</v>
      </c>
    </row>
    <row r="3026" spans="1:11" x14ac:dyDescent="0.2">
      <c r="A3026">
        <v>9.2161798316701602E-13</v>
      </c>
      <c r="B3026">
        <v>0.53664058287154304</v>
      </c>
      <c r="C3026">
        <v>0.81699999999999995</v>
      </c>
      <c r="D3026">
        <v>0.56899999999999995</v>
      </c>
      <c r="E3026">
        <v>1.42694112333749E-8</v>
      </c>
      <c r="F3026">
        <v>9</v>
      </c>
      <c r="G3026" t="s">
        <v>2458</v>
      </c>
      <c r="H3026" t="s">
        <v>2459</v>
      </c>
      <c r="I3026" t="s">
        <v>2458</v>
      </c>
      <c r="J3026" s="1" t="str">
        <f>HYPERLINK("https://zfin.org/ZDB-GENE-060126-3")</f>
        <v>https://zfin.org/ZDB-GENE-060126-3</v>
      </c>
      <c r="K3026" t="s">
        <v>2460</v>
      </c>
    </row>
    <row r="3027" spans="1:11" x14ac:dyDescent="0.2">
      <c r="A3027">
        <v>1.61233375974273E-12</v>
      </c>
      <c r="B3027">
        <v>0.65863802398385696</v>
      </c>
      <c r="C3027">
        <v>0.72499999999999998</v>
      </c>
      <c r="D3027">
        <v>0.42599999999999999</v>
      </c>
      <c r="E3027">
        <v>2.49637636020967E-8</v>
      </c>
      <c r="F3027">
        <v>9</v>
      </c>
      <c r="G3027" t="s">
        <v>3995</v>
      </c>
      <c r="H3027" t="s">
        <v>3996</v>
      </c>
      <c r="I3027" t="s">
        <v>3995</v>
      </c>
      <c r="J3027" s="1" t="str">
        <f>HYPERLINK("https://zfin.org/ZDB-GENE-050417-338")</f>
        <v>https://zfin.org/ZDB-GENE-050417-338</v>
      </c>
      <c r="K3027" t="s">
        <v>3997</v>
      </c>
    </row>
    <row r="3028" spans="1:11" x14ac:dyDescent="0.2">
      <c r="A3028">
        <v>2.1908279898781898E-12</v>
      </c>
      <c r="B3028">
        <v>0.638957667588676</v>
      </c>
      <c r="C3028">
        <v>0.79800000000000004</v>
      </c>
      <c r="D3028">
        <v>0.503</v>
      </c>
      <c r="E3028">
        <v>3.3920589767284002E-8</v>
      </c>
      <c r="F3028">
        <v>9</v>
      </c>
      <c r="G3028" t="s">
        <v>5961</v>
      </c>
      <c r="H3028" t="s">
        <v>5962</v>
      </c>
      <c r="I3028" t="s">
        <v>5961</v>
      </c>
      <c r="J3028" s="1" t="str">
        <f>HYPERLINK("https://zfin.org/ZDB-GENE-070424-74")</f>
        <v>https://zfin.org/ZDB-GENE-070424-74</v>
      </c>
      <c r="K3028" t="s">
        <v>5963</v>
      </c>
    </row>
    <row r="3029" spans="1:11" x14ac:dyDescent="0.2">
      <c r="A3029">
        <v>4.2685316097619202E-12</v>
      </c>
      <c r="B3029">
        <v>0.535073046500123</v>
      </c>
      <c r="C3029">
        <v>0.248</v>
      </c>
      <c r="D3029">
        <v>6.4000000000000001E-2</v>
      </c>
      <c r="E3029">
        <v>6.6089674913943706E-8</v>
      </c>
      <c r="F3029">
        <v>9</v>
      </c>
      <c r="G3029" t="s">
        <v>5949</v>
      </c>
      <c r="H3029" t="s">
        <v>5950</v>
      </c>
      <c r="I3029" t="s">
        <v>5949</v>
      </c>
      <c r="J3029" s="1" t="str">
        <f>HYPERLINK("https://zfin.org/ZDB-GENE-111004-2")</f>
        <v>https://zfin.org/ZDB-GENE-111004-2</v>
      </c>
      <c r="K3029" t="s">
        <v>5951</v>
      </c>
    </row>
    <row r="3030" spans="1:11" x14ac:dyDescent="0.2">
      <c r="A3030">
        <v>6.9368095210313998E-12</v>
      </c>
      <c r="B3030">
        <v>0.47245441628685397</v>
      </c>
      <c r="C3030">
        <v>0.33900000000000002</v>
      </c>
      <c r="D3030">
        <v>0.113</v>
      </c>
      <c r="E3030">
        <v>1.07402621814129E-7</v>
      </c>
      <c r="F3030">
        <v>9</v>
      </c>
      <c r="G3030" t="s">
        <v>6228</v>
      </c>
      <c r="H3030" t="s">
        <v>6229</v>
      </c>
      <c r="I3030" t="s">
        <v>6228</v>
      </c>
      <c r="J3030" s="1" t="str">
        <f>HYPERLINK("https://zfin.org/ZDB-GENE-061201-42")</f>
        <v>https://zfin.org/ZDB-GENE-061201-42</v>
      </c>
      <c r="K3030" t="s">
        <v>6230</v>
      </c>
    </row>
    <row r="3031" spans="1:11" x14ac:dyDescent="0.2">
      <c r="A3031">
        <v>9.2235988225290796E-12</v>
      </c>
      <c r="B3031">
        <v>0.47659568789503798</v>
      </c>
      <c r="C3031">
        <v>0.91700000000000004</v>
      </c>
      <c r="D3031">
        <v>0.83599999999999997</v>
      </c>
      <c r="E3031">
        <v>1.42808980569218E-7</v>
      </c>
      <c r="F3031">
        <v>9</v>
      </c>
      <c r="G3031" t="s">
        <v>3050</v>
      </c>
      <c r="H3031" t="s">
        <v>3051</v>
      </c>
      <c r="I3031" t="s">
        <v>3050</v>
      </c>
      <c r="J3031" s="1" t="str">
        <f>HYPERLINK("https://zfin.org/ZDB-GENE-000607-83")</f>
        <v>https://zfin.org/ZDB-GENE-000607-83</v>
      </c>
      <c r="K3031" t="s">
        <v>3052</v>
      </c>
    </row>
    <row r="3032" spans="1:11" x14ac:dyDescent="0.2">
      <c r="A3032">
        <v>1.1755351809087801E-11</v>
      </c>
      <c r="B3032">
        <v>0.52411065774885401</v>
      </c>
      <c r="C3032">
        <v>0.79800000000000004</v>
      </c>
      <c r="D3032">
        <v>0.49299999999999999</v>
      </c>
      <c r="E3032">
        <v>1.82008112060107E-7</v>
      </c>
      <c r="F3032">
        <v>9</v>
      </c>
      <c r="G3032" t="s">
        <v>2766</v>
      </c>
      <c r="H3032" t="s">
        <v>2767</v>
      </c>
      <c r="I3032" t="s">
        <v>2766</v>
      </c>
      <c r="J3032" s="1" t="str">
        <f>HYPERLINK("https://zfin.org/ZDB-GENE-041114-138")</f>
        <v>https://zfin.org/ZDB-GENE-041114-138</v>
      </c>
      <c r="K3032" t="s">
        <v>2768</v>
      </c>
    </row>
    <row r="3033" spans="1:11" x14ac:dyDescent="0.2">
      <c r="A3033">
        <v>1.3609990819417E-11</v>
      </c>
      <c r="B3033">
        <v>0.38785829955883699</v>
      </c>
      <c r="C3033">
        <v>1</v>
      </c>
      <c r="D3033">
        <v>1</v>
      </c>
      <c r="E3033">
        <v>2.1072348785703301E-7</v>
      </c>
      <c r="F3033">
        <v>9</v>
      </c>
      <c r="G3033" t="s">
        <v>860</v>
      </c>
      <c r="H3033" t="s">
        <v>861</v>
      </c>
      <c r="I3033" t="s">
        <v>860</v>
      </c>
      <c r="J3033" s="1" t="str">
        <f>HYPERLINK("https://zfin.org/ZDB-GENE-080225-18")</f>
        <v>https://zfin.org/ZDB-GENE-080225-18</v>
      </c>
      <c r="K3033" t="s">
        <v>862</v>
      </c>
    </row>
    <row r="3034" spans="1:11" x14ac:dyDescent="0.2">
      <c r="A3034">
        <v>1.6066579218007301E-11</v>
      </c>
      <c r="B3034">
        <v>0.621520868628196</v>
      </c>
      <c r="C3034">
        <v>0.624</v>
      </c>
      <c r="D3034">
        <v>0.33400000000000002</v>
      </c>
      <c r="E3034">
        <v>2.4875884603240701E-7</v>
      </c>
      <c r="F3034">
        <v>9</v>
      </c>
      <c r="G3034" t="s">
        <v>5967</v>
      </c>
      <c r="H3034" t="s">
        <v>5968</v>
      </c>
      <c r="I3034" t="s">
        <v>5967</v>
      </c>
      <c r="J3034" s="1" t="str">
        <f>HYPERLINK("https://zfin.org/ZDB-GENE-120215-253")</f>
        <v>https://zfin.org/ZDB-GENE-120215-253</v>
      </c>
      <c r="K3034" t="s">
        <v>5969</v>
      </c>
    </row>
    <row r="3035" spans="1:11" x14ac:dyDescent="0.2">
      <c r="A3035">
        <v>4.4003060441951498E-11</v>
      </c>
      <c r="B3035">
        <v>0.59588730858983396</v>
      </c>
      <c r="C3035">
        <v>0.46800000000000003</v>
      </c>
      <c r="D3035">
        <v>0.19900000000000001</v>
      </c>
      <c r="E3035">
        <v>6.8129938482273499E-7</v>
      </c>
      <c r="F3035">
        <v>9</v>
      </c>
      <c r="G3035" t="s">
        <v>6005</v>
      </c>
      <c r="H3035" t="s">
        <v>6006</v>
      </c>
      <c r="I3035" t="s">
        <v>6005</v>
      </c>
      <c r="J3035" s="1" t="str">
        <f>HYPERLINK("https://zfin.org/ZDB-GENE-040718-440")</f>
        <v>https://zfin.org/ZDB-GENE-040718-440</v>
      </c>
      <c r="K3035" t="s">
        <v>6007</v>
      </c>
    </row>
    <row r="3036" spans="1:11" x14ac:dyDescent="0.2">
      <c r="A3036">
        <v>6.0511066190313102E-11</v>
      </c>
      <c r="B3036">
        <v>0.68637616395374001</v>
      </c>
      <c r="C3036">
        <v>0.495</v>
      </c>
      <c r="D3036">
        <v>0.22900000000000001</v>
      </c>
      <c r="E3036">
        <v>9.36892837824617E-7</v>
      </c>
      <c r="F3036">
        <v>9</v>
      </c>
      <c r="G3036" t="s">
        <v>5991</v>
      </c>
      <c r="H3036" t="s">
        <v>5992</v>
      </c>
      <c r="I3036" t="s">
        <v>5991</v>
      </c>
      <c r="J3036" s="1" t="str">
        <f>HYPERLINK("https://zfin.org/ZDB-GENE-070119-3")</f>
        <v>https://zfin.org/ZDB-GENE-070119-3</v>
      </c>
      <c r="K3036" t="s">
        <v>5993</v>
      </c>
    </row>
    <row r="3037" spans="1:11" x14ac:dyDescent="0.2">
      <c r="A3037">
        <v>7.62433951587033E-11</v>
      </c>
      <c r="B3037">
        <v>0.80505245048702001</v>
      </c>
      <c r="C3037">
        <v>0.94499999999999995</v>
      </c>
      <c r="D3037">
        <v>0.80900000000000005</v>
      </c>
      <c r="E3037">
        <v>1.1804764872422001E-6</v>
      </c>
      <c r="F3037">
        <v>9</v>
      </c>
      <c r="G3037" t="s">
        <v>2069</v>
      </c>
      <c r="H3037" t="s">
        <v>2070</v>
      </c>
      <c r="I3037" t="s">
        <v>2069</v>
      </c>
      <c r="J3037" s="1" t="str">
        <f>HYPERLINK("https://zfin.org/ZDB-GENE-030131-12")</f>
        <v>https://zfin.org/ZDB-GENE-030131-12</v>
      </c>
      <c r="K3037" t="s">
        <v>2071</v>
      </c>
    </row>
    <row r="3038" spans="1:11" x14ac:dyDescent="0.2">
      <c r="A3038">
        <v>1.0143245490317099E-10</v>
      </c>
      <c r="B3038">
        <v>0.53694871835339897</v>
      </c>
      <c r="C3038">
        <v>0.41299999999999998</v>
      </c>
      <c r="D3038">
        <v>0.16500000000000001</v>
      </c>
      <c r="E3038">
        <v>1.57047869926579E-6</v>
      </c>
      <c r="F3038">
        <v>9</v>
      </c>
      <c r="G3038" t="s">
        <v>5886</v>
      </c>
      <c r="H3038" t="s">
        <v>5887</v>
      </c>
      <c r="I3038" t="s">
        <v>5886</v>
      </c>
      <c r="J3038" s="1" t="str">
        <f>HYPERLINK("https://zfin.org/ZDB-GENE-980526-112")</f>
        <v>https://zfin.org/ZDB-GENE-980526-112</v>
      </c>
      <c r="K3038" t="s">
        <v>5888</v>
      </c>
    </row>
    <row r="3039" spans="1:11" x14ac:dyDescent="0.2">
      <c r="A3039">
        <v>1.06630284393696E-10</v>
      </c>
      <c r="B3039">
        <v>-1.6514793585456899</v>
      </c>
      <c r="C3039">
        <v>1</v>
      </c>
      <c r="D3039">
        <v>1</v>
      </c>
      <c r="E3039">
        <v>1.6509566932676E-6</v>
      </c>
      <c r="F3039">
        <v>9</v>
      </c>
      <c r="G3039" t="s">
        <v>708</v>
      </c>
      <c r="H3039" t="s">
        <v>709</v>
      </c>
      <c r="I3039" t="s">
        <v>708</v>
      </c>
      <c r="J3039" s="1" t="str">
        <f>HYPERLINK("https://zfin.org/ZDB-GENE-030805-3")</f>
        <v>https://zfin.org/ZDB-GENE-030805-3</v>
      </c>
      <c r="K3039" t="s">
        <v>710</v>
      </c>
    </row>
    <row r="3040" spans="1:11" x14ac:dyDescent="0.2">
      <c r="A3040">
        <v>1.1622140020763001E-10</v>
      </c>
      <c r="B3040">
        <v>0.51085272344160404</v>
      </c>
      <c r="C3040">
        <v>0.76100000000000001</v>
      </c>
      <c r="D3040">
        <v>0.51600000000000001</v>
      </c>
      <c r="E3040">
        <v>1.79945593941474E-6</v>
      </c>
      <c r="F3040">
        <v>9</v>
      </c>
      <c r="G3040" t="s">
        <v>5982</v>
      </c>
      <c r="H3040" t="s">
        <v>5983</v>
      </c>
      <c r="I3040" t="s">
        <v>5982</v>
      </c>
      <c r="J3040" s="1" t="str">
        <f>HYPERLINK("https://zfin.org/ZDB-GENE-030428-2")</f>
        <v>https://zfin.org/ZDB-GENE-030428-2</v>
      </c>
      <c r="K3040" t="s">
        <v>5984</v>
      </c>
    </row>
    <row r="3041" spans="1:11" x14ac:dyDescent="0.2">
      <c r="A3041">
        <v>1.2416591962078899E-10</v>
      </c>
      <c r="B3041">
        <v>0.53622732778013804</v>
      </c>
      <c r="C3041">
        <v>0.41299999999999998</v>
      </c>
      <c r="D3041">
        <v>0.16400000000000001</v>
      </c>
      <c r="E3041">
        <v>1.9224609334886799E-6</v>
      </c>
      <c r="F3041">
        <v>9</v>
      </c>
      <c r="G3041" t="s">
        <v>6231</v>
      </c>
      <c r="H3041" t="s">
        <v>6232</v>
      </c>
      <c r="I3041" t="s">
        <v>6231</v>
      </c>
      <c r="J3041" s="1" t="str">
        <f>HYPERLINK("https://zfin.org/ZDB-GENE-090313-116")</f>
        <v>https://zfin.org/ZDB-GENE-090313-116</v>
      </c>
      <c r="K3041" t="s">
        <v>6233</v>
      </c>
    </row>
    <row r="3042" spans="1:11" x14ac:dyDescent="0.2">
      <c r="A3042">
        <v>2.1280026660342799E-10</v>
      </c>
      <c r="B3042">
        <v>0.57418314284063598</v>
      </c>
      <c r="C3042">
        <v>0.56899999999999995</v>
      </c>
      <c r="D3042">
        <v>0.312</v>
      </c>
      <c r="E3042">
        <v>3.2947865278208699E-6</v>
      </c>
      <c r="F3042">
        <v>9</v>
      </c>
      <c r="G3042" t="s">
        <v>6065</v>
      </c>
      <c r="H3042" t="s">
        <v>6066</v>
      </c>
      <c r="I3042" t="s">
        <v>6065</v>
      </c>
      <c r="J3042" s="1" t="str">
        <f>HYPERLINK("https://zfin.org/ZDB-GENE-070719-5")</f>
        <v>https://zfin.org/ZDB-GENE-070719-5</v>
      </c>
      <c r="K3042" t="s">
        <v>6067</v>
      </c>
    </row>
    <row r="3043" spans="1:11" x14ac:dyDescent="0.2">
      <c r="A3043">
        <v>7.1220827666533805E-10</v>
      </c>
      <c r="B3043">
        <v>0.30947168570530897</v>
      </c>
      <c r="C3043">
        <v>0.183</v>
      </c>
      <c r="D3043">
        <v>4.3999999999999997E-2</v>
      </c>
      <c r="E3043">
        <v>1.10271207476094E-5</v>
      </c>
      <c r="F3043">
        <v>9</v>
      </c>
      <c r="G3043" t="s">
        <v>6201</v>
      </c>
      <c r="H3043" t="s">
        <v>6202</v>
      </c>
      <c r="I3043" t="s">
        <v>6201</v>
      </c>
      <c r="J3043" s="1" t="str">
        <f>HYPERLINK("https://zfin.org/ZDB-GENE-040426-1909")</f>
        <v>https://zfin.org/ZDB-GENE-040426-1909</v>
      </c>
      <c r="K3043" t="s">
        <v>6203</v>
      </c>
    </row>
    <row r="3044" spans="1:11" x14ac:dyDescent="0.2">
      <c r="A3044">
        <v>7.9181972710482701E-10</v>
      </c>
      <c r="B3044">
        <v>0.303239068234672</v>
      </c>
      <c r="C3044">
        <v>0.26600000000000001</v>
      </c>
      <c r="D3044">
        <v>8.1000000000000003E-2</v>
      </c>
      <c r="E3044">
        <v>1.2259744834763999E-5</v>
      </c>
      <c r="F3044">
        <v>9</v>
      </c>
      <c r="G3044" t="s">
        <v>5916</v>
      </c>
      <c r="H3044" t="s">
        <v>5917</v>
      </c>
      <c r="I3044" t="s">
        <v>5916</v>
      </c>
      <c r="J3044" s="1" t="str">
        <f>HYPERLINK("https://zfin.org/ZDB-GENE-080215-10")</f>
        <v>https://zfin.org/ZDB-GENE-080215-10</v>
      </c>
      <c r="K3044" t="s">
        <v>5918</v>
      </c>
    </row>
    <row r="3045" spans="1:11" x14ac:dyDescent="0.2">
      <c r="A3045">
        <v>1.40760944335944E-9</v>
      </c>
      <c r="B3045">
        <v>0.62807389841150396</v>
      </c>
      <c r="C3045">
        <v>0.47699999999999998</v>
      </c>
      <c r="D3045">
        <v>0.23499999999999999</v>
      </c>
      <c r="E3045">
        <v>2.1794017011534202E-5</v>
      </c>
      <c r="F3045">
        <v>9</v>
      </c>
      <c r="G3045" t="s">
        <v>5895</v>
      </c>
      <c r="H3045" t="s">
        <v>5896</v>
      </c>
      <c r="I3045" t="s">
        <v>5895</v>
      </c>
      <c r="J3045" s="1" t="str">
        <f>HYPERLINK("https://zfin.org/ZDB-GENE-040426-1430")</f>
        <v>https://zfin.org/ZDB-GENE-040426-1430</v>
      </c>
      <c r="K3045" t="s">
        <v>5897</v>
      </c>
    </row>
    <row r="3046" spans="1:11" x14ac:dyDescent="0.2">
      <c r="A3046">
        <v>1.97633749973267E-9</v>
      </c>
      <c r="B3046">
        <v>0.402968572865603</v>
      </c>
      <c r="C3046">
        <v>0.79800000000000004</v>
      </c>
      <c r="D3046">
        <v>0.48799999999999999</v>
      </c>
      <c r="E3046">
        <v>3.0599633508361E-5</v>
      </c>
      <c r="F3046">
        <v>9</v>
      </c>
      <c r="G3046" t="s">
        <v>2654</v>
      </c>
      <c r="H3046" t="s">
        <v>2655</v>
      </c>
      <c r="I3046" t="s">
        <v>2654</v>
      </c>
      <c r="J3046" s="1" t="str">
        <f>HYPERLINK("https://zfin.org/ZDB-GENE-141212-380")</f>
        <v>https://zfin.org/ZDB-GENE-141212-380</v>
      </c>
      <c r="K3046" t="s">
        <v>2656</v>
      </c>
    </row>
    <row r="3047" spans="1:11" x14ac:dyDescent="0.2">
      <c r="A3047">
        <v>2.2809888660861599E-9</v>
      </c>
      <c r="B3047">
        <v>0.41411216716898902</v>
      </c>
      <c r="C3047">
        <v>0.91700000000000004</v>
      </c>
      <c r="D3047">
        <v>0.8</v>
      </c>
      <c r="E3047">
        <v>3.53165506136119E-5</v>
      </c>
      <c r="F3047">
        <v>9</v>
      </c>
      <c r="G3047" t="s">
        <v>2299</v>
      </c>
      <c r="H3047" t="s">
        <v>2300</v>
      </c>
      <c r="I3047" t="s">
        <v>2299</v>
      </c>
      <c r="J3047" s="1" t="str">
        <f>HYPERLINK("https://zfin.org/ZDB-GENE-030410-4")</f>
        <v>https://zfin.org/ZDB-GENE-030410-4</v>
      </c>
      <c r="K3047" t="s">
        <v>2301</v>
      </c>
    </row>
    <row r="3048" spans="1:11" x14ac:dyDescent="0.2">
      <c r="A3048">
        <v>2.3105214621748798E-9</v>
      </c>
      <c r="B3048">
        <v>0.420876551848752</v>
      </c>
      <c r="C3048">
        <v>0.34899999999999998</v>
      </c>
      <c r="D3048">
        <v>0.13500000000000001</v>
      </c>
      <c r="E3048">
        <v>3.5773803798853599E-5</v>
      </c>
      <c r="F3048">
        <v>9</v>
      </c>
      <c r="G3048" t="s">
        <v>6234</v>
      </c>
      <c r="H3048" t="s">
        <v>6235</v>
      </c>
      <c r="I3048" t="s">
        <v>6234</v>
      </c>
      <c r="J3048" s="1" t="str">
        <f>HYPERLINK("https://zfin.org/ZDB-GENE-050522-34")</f>
        <v>https://zfin.org/ZDB-GENE-050522-34</v>
      </c>
      <c r="K3048" t="s">
        <v>6236</v>
      </c>
    </row>
    <row r="3049" spans="1:11" x14ac:dyDescent="0.2">
      <c r="A3049">
        <v>3.5813918437635801E-9</v>
      </c>
      <c r="B3049">
        <v>0.26284263152797799</v>
      </c>
      <c r="C3049">
        <v>0.11</v>
      </c>
      <c r="D3049">
        <v>1.7999999999999999E-2</v>
      </c>
      <c r="E3049">
        <v>5.5450689916991503E-5</v>
      </c>
      <c r="F3049">
        <v>9</v>
      </c>
      <c r="G3049" t="s">
        <v>6237</v>
      </c>
      <c r="H3049" t="s">
        <v>6238</v>
      </c>
      <c r="I3049" t="s">
        <v>6237</v>
      </c>
      <c r="J3049" s="1" t="str">
        <f>HYPERLINK("https://zfin.org/ZDB-GENE-030131-3767")</f>
        <v>https://zfin.org/ZDB-GENE-030131-3767</v>
      </c>
      <c r="K3049" t="s">
        <v>6239</v>
      </c>
    </row>
    <row r="3050" spans="1:11" x14ac:dyDescent="0.2">
      <c r="A3050">
        <v>5.8227445480220804E-9</v>
      </c>
      <c r="B3050">
        <v>0.55796561547478796</v>
      </c>
      <c r="C3050">
        <v>0.60599999999999998</v>
      </c>
      <c r="D3050">
        <v>0.34799999999999998</v>
      </c>
      <c r="E3050">
        <v>9.0153553837025804E-5</v>
      </c>
      <c r="F3050">
        <v>9</v>
      </c>
      <c r="G3050" t="s">
        <v>6017</v>
      </c>
      <c r="H3050" t="s">
        <v>6018</v>
      </c>
      <c r="I3050" t="s">
        <v>6017</v>
      </c>
      <c r="J3050" s="1" t="str">
        <f>HYPERLINK("https://zfin.org/ZDB-GENE-100922-65")</f>
        <v>https://zfin.org/ZDB-GENE-100922-65</v>
      </c>
      <c r="K3050" t="s">
        <v>6019</v>
      </c>
    </row>
    <row r="3051" spans="1:11" x14ac:dyDescent="0.2">
      <c r="A3051">
        <v>5.9650761023552101E-9</v>
      </c>
      <c r="B3051">
        <v>0.37410201183393899</v>
      </c>
      <c r="C3051">
        <v>0.66100000000000003</v>
      </c>
      <c r="D3051">
        <v>0.36699999999999999</v>
      </c>
      <c r="E3051">
        <v>9.2357273292765693E-5</v>
      </c>
      <c r="F3051">
        <v>9</v>
      </c>
      <c r="G3051" t="s">
        <v>3170</v>
      </c>
      <c r="H3051" t="s">
        <v>3171</v>
      </c>
      <c r="I3051" t="s">
        <v>3170</v>
      </c>
      <c r="J3051" s="1" t="str">
        <f>HYPERLINK("https://zfin.org/ZDB-GENE-090915-6")</f>
        <v>https://zfin.org/ZDB-GENE-090915-6</v>
      </c>
      <c r="K3051" t="s">
        <v>3172</v>
      </c>
    </row>
    <row r="3052" spans="1:11" x14ac:dyDescent="0.2">
      <c r="A3052">
        <v>3.7702988493113301E-53</v>
      </c>
      <c r="B3052">
        <v>1.24738716823389</v>
      </c>
      <c r="C3052">
        <v>0.61</v>
      </c>
      <c r="D3052">
        <v>0.06</v>
      </c>
      <c r="E3052">
        <v>5.8375537083887403E-49</v>
      </c>
      <c r="F3052">
        <v>10</v>
      </c>
      <c r="G3052" t="s">
        <v>4738</v>
      </c>
      <c r="H3052" t="s">
        <v>4739</v>
      </c>
      <c r="I3052" t="s">
        <v>4738</v>
      </c>
      <c r="J3052" s="1" t="str">
        <f>HYPERLINK("https://zfin.org/ZDB-GENE-020419-4")</f>
        <v>https://zfin.org/ZDB-GENE-020419-4</v>
      </c>
      <c r="K3052" t="s">
        <v>4740</v>
      </c>
    </row>
    <row r="3053" spans="1:11" x14ac:dyDescent="0.2">
      <c r="A3053">
        <v>2.1088524411962201E-46</v>
      </c>
      <c r="B3053">
        <v>1.29587224947347</v>
      </c>
      <c r="C3053">
        <v>0.61</v>
      </c>
      <c r="D3053">
        <v>7.0999999999999994E-2</v>
      </c>
      <c r="E3053">
        <v>3.2651362347041002E-42</v>
      </c>
      <c r="F3053">
        <v>10</v>
      </c>
      <c r="G3053" t="s">
        <v>5175</v>
      </c>
      <c r="H3053" t="s">
        <v>5176</v>
      </c>
      <c r="I3053" t="s">
        <v>5175</v>
      </c>
      <c r="J3053" s="1" t="str">
        <f>HYPERLINK("https://zfin.org/ZDB-GENE-020419-24")</f>
        <v>https://zfin.org/ZDB-GENE-020419-24</v>
      </c>
      <c r="K3053" t="s">
        <v>5177</v>
      </c>
    </row>
    <row r="3054" spans="1:11" x14ac:dyDescent="0.2">
      <c r="A3054">
        <v>1.92210316256151E-35</v>
      </c>
      <c r="B3054">
        <v>1.1068279955539999</v>
      </c>
      <c r="C3054">
        <v>0.50800000000000001</v>
      </c>
      <c r="D3054">
        <v>6.4000000000000001E-2</v>
      </c>
      <c r="E3054">
        <v>2.9759923265939901E-31</v>
      </c>
      <c r="F3054">
        <v>10</v>
      </c>
      <c r="G3054" t="s">
        <v>4912</v>
      </c>
      <c r="H3054" t="s">
        <v>4913</v>
      </c>
      <c r="I3054" t="s">
        <v>4912</v>
      </c>
      <c r="J3054" s="1" t="str">
        <f>HYPERLINK("https://zfin.org/ZDB-GENE-030131-9923")</f>
        <v>https://zfin.org/ZDB-GENE-030131-9923</v>
      </c>
      <c r="K3054" t="s">
        <v>4914</v>
      </c>
    </row>
    <row r="3055" spans="1:11" x14ac:dyDescent="0.2">
      <c r="A3055">
        <v>9.7390048938660207E-35</v>
      </c>
      <c r="B3055">
        <v>0.91668340158599804</v>
      </c>
      <c r="C3055">
        <v>0.373</v>
      </c>
      <c r="D3055">
        <v>3.3000000000000002E-2</v>
      </c>
      <c r="E3055">
        <v>1.50789012771728E-30</v>
      </c>
      <c r="F3055">
        <v>10</v>
      </c>
      <c r="G3055" t="s">
        <v>4771</v>
      </c>
      <c r="H3055" t="s">
        <v>4772</v>
      </c>
      <c r="I3055" t="s">
        <v>4771</v>
      </c>
      <c r="J3055" s="1" t="str">
        <f>HYPERLINK("https://zfin.org/ZDB-GENE-050417-29")</f>
        <v>https://zfin.org/ZDB-GENE-050417-29</v>
      </c>
      <c r="K3055" t="s">
        <v>4773</v>
      </c>
    </row>
    <row r="3056" spans="1:11" x14ac:dyDescent="0.2">
      <c r="A3056">
        <v>2.8261827308687799E-34</v>
      </c>
      <c r="B3056">
        <v>1.0506301956744299</v>
      </c>
      <c r="C3056">
        <v>0.52500000000000002</v>
      </c>
      <c r="D3056">
        <v>7.0999999999999994E-2</v>
      </c>
      <c r="E3056">
        <v>4.3757787222041301E-30</v>
      </c>
      <c r="F3056">
        <v>10</v>
      </c>
      <c r="G3056" t="s">
        <v>4942</v>
      </c>
      <c r="H3056" t="s">
        <v>4943</v>
      </c>
      <c r="I3056" t="s">
        <v>4942</v>
      </c>
      <c r="J3056" s="1" t="str">
        <f>HYPERLINK("https://zfin.org/ZDB-GENE-030909-6")</f>
        <v>https://zfin.org/ZDB-GENE-030909-6</v>
      </c>
      <c r="K3056" t="s">
        <v>4944</v>
      </c>
    </row>
    <row r="3057" spans="1:11" x14ac:dyDescent="0.2">
      <c r="A3057">
        <v>4.3807330469799899E-31</v>
      </c>
      <c r="B3057">
        <v>1.0267566733576201</v>
      </c>
      <c r="C3057">
        <v>0.441</v>
      </c>
      <c r="D3057">
        <v>5.5E-2</v>
      </c>
      <c r="E3057">
        <v>6.7826889766391207E-27</v>
      </c>
      <c r="F3057">
        <v>10</v>
      </c>
      <c r="G3057" t="s">
        <v>4862</v>
      </c>
      <c r="H3057" t="s">
        <v>4863</v>
      </c>
      <c r="I3057" t="s">
        <v>4862</v>
      </c>
      <c r="J3057" s="1" t="str">
        <f>HYPERLINK("https://zfin.org/ZDB-GENE-021209-1")</f>
        <v>https://zfin.org/ZDB-GENE-021209-1</v>
      </c>
      <c r="K3057" t="s">
        <v>4864</v>
      </c>
    </row>
    <row r="3058" spans="1:11" x14ac:dyDescent="0.2">
      <c r="A3058">
        <v>1.0603380008312601E-22</v>
      </c>
      <c r="B3058">
        <v>0.78988716256311298</v>
      </c>
      <c r="C3058">
        <v>0.39</v>
      </c>
      <c r="D3058">
        <v>5.8999999999999997E-2</v>
      </c>
      <c r="E3058">
        <v>1.6417213266870299E-18</v>
      </c>
      <c r="F3058">
        <v>10</v>
      </c>
      <c r="G3058" t="s">
        <v>4921</v>
      </c>
      <c r="H3058" t="s">
        <v>4922</v>
      </c>
      <c r="I3058" t="s">
        <v>4921</v>
      </c>
      <c r="J3058" s="1" t="str">
        <f>HYPERLINK("https://zfin.org/ZDB-GENE-030131-9544")</f>
        <v>https://zfin.org/ZDB-GENE-030131-9544</v>
      </c>
      <c r="K3058" t="s">
        <v>4923</v>
      </c>
    </row>
    <row r="3059" spans="1:11" x14ac:dyDescent="0.2">
      <c r="A3059">
        <v>1.0966620865220301E-19</v>
      </c>
      <c r="B3059">
        <v>0.75611441528517498</v>
      </c>
      <c r="C3059">
        <v>0.52500000000000002</v>
      </c>
      <c r="D3059">
        <v>0.114</v>
      </c>
      <c r="E3059">
        <v>1.6979619085620599E-15</v>
      </c>
      <c r="F3059">
        <v>10</v>
      </c>
      <c r="G3059" t="s">
        <v>4349</v>
      </c>
      <c r="H3059" t="s">
        <v>4350</v>
      </c>
      <c r="I3059" t="s">
        <v>4349</v>
      </c>
      <c r="J3059" s="1" t="str">
        <f>HYPERLINK("https://zfin.org/ZDB-GENE-141212-376")</f>
        <v>https://zfin.org/ZDB-GENE-141212-376</v>
      </c>
      <c r="K3059" t="s">
        <v>4351</v>
      </c>
    </row>
    <row r="3060" spans="1:11" x14ac:dyDescent="0.2">
      <c r="A3060">
        <v>1.46691326421197E-19</v>
      </c>
      <c r="B3060">
        <v>0.79563622842988402</v>
      </c>
      <c r="C3060">
        <v>0.627</v>
      </c>
      <c r="D3060">
        <v>0.16600000000000001</v>
      </c>
      <c r="E3060">
        <v>2.27122180697939E-15</v>
      </c>
      <c r="F3060">
        <v>10</v>
      </c>
      <c r="G3060" t="s">
        <v>4316</v>
      </c>
      <c r="H3060" t="s">
        <v>4317</v>
      </c>
      <c r="I3060" t="s">
        <v>4316</v>
      </c>
      <c r="J3060" s="1" t="str">
        <f>HYPERLINK("https://zfin.org/ZDB-GENE-000210-8")</f>
        <v>https://zfin.org/ZDB-GENE-000210-8</v>
      </c>
      <c r="K3060" t="s">
        <v>4318</v>
      </c>
    </row>
    <row r="3061" spans="1:11" x14ac:dyDescent="0.2">
      <c r="A3061">
        <v>5.2177235486623996E-19</v>
      </c>
      <c r="B3061">
        <v>0.86173250061626805</v>
      </c>
      <c r="C3061">
        <v>0.57599999999999996</v>
      </c>
      <c r="D3061">
        <v>0.14799999999999999</v>
      </c>
      <c r="E3061">
        <v>8.0786013703939995E-15</v>
      </c>
      <c r="F3061">
        <v>10</v>
      </c>
      <c r="G3061" t="s">
        <v>4579</v>
      </c>
      <c r="H3061" t="s">
        <v>4580</v>
      </c>
      <c r="I3061" t="s">
        <v>4579</v>
      </c>
      <c r="J3061" s="1" t="str">
        <f>HYPERLINK("https://zfin.org/ZDB-GENE-040426-977")</f>
        <v>https://zfin.org/ZDB-GENE-040426-977</v>
      </c>
      <c r="K3061" t="s">
        <v>4581</v>
      </c>
    </row>
    <row r="3062" spans="1:11" x14ac:dyDescent="0.2">
      <c r="A3062">
        <v>5.9791450871525104E-16</v>
      </c>
      <c r="B3062">
        <v>0.88089374837243095</v>
      </c>
      <c r="C3062">
        <v>0.45800000000000002</v>
      </c>
      <c r="D3062">
        <v>0.11</v>
      </c>
      <c r="E3062">
        <v>9.2575103384382296E-12</v>
      </c>
      <c r="F3062">
        <v>10</v>
      </c>
      <c r="G3062" t="s">
        <v>4618</v>
      </c>
      <c r="H3062" t="s">
        <v>4619</v>
      </c>
      <c r="I3062" t="s">
        <v>4618</v>
      </c>
      <c r="J3062" s="1" t="str">
        <f>HYPERLINK("https://zfin.org/ZDB-GENE-020419-27")</f>
        <v>https://zfin.org/ZDB-GENE-020419-27</v>
      </c>
      <c r="K3062" t="s">
        <v>4620</v>
      </c>
    </row>
    <row r="3063" spans="1:11" x14ac:dyDescent="0.2">
      <c r="A3063">
        <v>3.6995304079613699E-15</v>
      </c>
      <c r="B3063">
        <v>0.94164094274641796</v>
      </c>
      <c r="C3063">
        <v>0.72899999999999998</v>
      </c>
      <c r="D3063">
        <v>0.28000000000000003</v>
      </c>
      <c r="E3063">
        <v>5.7279829306465899E-11</v>
      </c>
      <c r="F3063">
        <v>10</v>
      </c>
      <c r="G3063" t="s">
        <v>5136</v>
      </c>
      <c r="H3063" t="s">
        <v>5137</v>
      </c>
      <c r="I3063" t="s">
        <v>5136</v>
      </c>
      <c r="J3063" s="1" t="str">
        <f>HYPERLINK("https://zfin.org/ZDB-GENE-110411-139")</f>
        <v>https://zfin.org/ZDB-GENE-110411-139</v>
      </c>
      <c r="K3063" t="s">
        <v>5138</v>
      </c>
    </row>
    <row r="3064" spans="1:11" x14ac:dyDescent="0.2">
      <c r="A3064">
        <v>5.2012143216988703E-15</v>
      </c>
      <c r="B3064">
        <v>0.68573499237957203</v>
      </c>
      <c r="C3064">
        <v>0.373</v>
      </c>
      <c r="D3064">
        <v>7.9000000000000001E-2</v>
      </c>
      <c r="E3064">
        <v>8.0530401342863596E-11</v>
      </c>
      <c r="F3064">
        <v>10</v>
      </c>
      <c r="G3064" t="s">
        <v>4510</v>
      </c>
      <c r="H3064" t="s">
        <v>4511</v>
      </c>
      <c r="I3064" t="s">
        <v>4510</v>
      </c>
      <c r="J3064" s="1" t="str">
        <f>HYPERLINK("https://zfin.org/ZDB-GENE-110404-2")</f>
        <v>https://zfin.org/ZDB-GENE-110404-2</v>
      </c>
      <c r="K3064" t="s">
        <v>4512</v>
      </c>
    </row>
    <row r="3065" spans="1:11" x14ac:dyDescent="0.2">
      <c r="A3065">
        <v>6.2548114270810901E-15</v>
      </c>
      <c r="B3065">
        <v>0.62322359791950899</v>
      </c>
      <c r="C3065">
        <v>0.28799999999999998</v>
      </c>
      <c r="D3065">
        <v>4.9000000000000002E-2</v>
      </c>
      <c r="E3065">
        <v>9.6843245325496402E-11</v>
      </c>
      <c r="F3065">
        <v>10</v>
      </c>
      <c r="G3065" t="s">
        <v>4817</v>
      </c>
      <c r="H3065" t="s">
        <v>4818</v>
      </c>
      <c r="I3065" t="s">
        <v>4817</v>
      </c>
      <c r="J3065" s="1" t="str">
        <f>HYPERLINK("https://zfin.org/ZDB-GENE-040426-976")</f>
        <v>https://zfin.org/ZDB-GENE-040426-976</v>
      </c>
      <c r="K3065" t="s">
        <v>4819</v>
      </c>
    </row>
    <row r="3066" spans="1:11" x14ac:dyDescent="0.2">
      <c r="A3066">
        <v>8.1910602446371194E-15</v>
      </c>
      <c r="B3066">
        <v>0.92657567126677498</v>
      </c>
      <c r="C3066">
        <v>0.67800000000000005</v>
      </c>
      <c r="D3066">
        <v>0.27900000000000003</v>
      </c>
      <c r="E3066">
        <v>1.26822185767717E-10</v>
      </c>
      <c r="F3066">
        <v>10</v>
      </c>
      <c r="G3066" t="s">
        <v>4871</v>
      </c>
      <c r="H3066" t="s">
        <v>4872</v>
      </c>
      <c r="I3066" t="s">
        <v>4871</v>
      </c>
      <c r="J3066" s="1" t="str">
        <f>HYPERLINK("https://zfin.org/ZDB-GENE-030411-2")</f>
        <v>https://zfin.org/ZDB-GENE-030411-2</v>
      </c>
      <c r="K3066" t="s">
        <v>4873</v>
      </c>
    </row>
    <row r="3067" spans="1:11" x14ac:dyDescent="0.2">
      <c r="A3067">
        <v>1.6240366026159201E-14</v>
      </c>
      <c r="B3067">
        <v>0.83300657610794904</v>
      </c>
      <c r="C3067">
        <v>0.64400000000000002</v>
      </c>
      <c r="D3067">
        <v>0.23899999999999999</v>
      </c>
      <c r="E3067">
        <v>2.5144958718302198E-10</v>
      </c>
      <c r="F3067">
        <v>10</v>
      </c>
      <c r="G3067" t="s">
        <v>5428</v>
      </c>
      <c r="H3067" t="s">
        <v>5429</v>
      </c>
      <c r="I3067" t="s">
        <v>5428</v>
      </c>
      <c r="J3067" s="1" t="str">
        <f>HYPERLINK("https://zfin.org/ZDB-GENE-040426-1936")</f>
        <v>https://zfin.org/ZDB-GENE-040426-1936</v>
      </c>
      <c r="K3067" t="s">
        <v>5430</v>
      </c>
    </row>
    <row r="3068" spans="1:11" x14ac:dyDescent="0.2">
      <c r="A3068">
        <v>2.4209194679598501E-13</v>
      </c>
      <c r="B3068">
        <v>0.702352818785144</v>
      </c>
      <c r="C3068">
        <v>0.27100000000000002</v>
      </c>
      <c r="D3068">
        <v>4.8000000000000001E-2</v>
      </c>
      <c r="E3068">
        <v>3.7483096122422302E-9</v>
      </c>
      <c r="F3068">
        <v>10</v>
      </c>
      <c r="G3068" t="s">
        <v>6240</v>
      </c>
      <c r="H3068" t="s">
        <v>6241</v>
      </c>
      <c r="I3068" t="s">
        <v>6240</v>
      </c>
      <c r="J3068" s="1" t="str">
        <f>HYPERLINK("https://zfin.org/ZDB-GENE-131127-286")</f>
        <v>https://zfin.org/ZDB-GENE-131127-286</v>
      </c>
      <c r="K3068" t="s">
        <v>6242</v>
      </c>
    </row>
    <row r="3069" spans="1:11" x14ac:dyDescent="0.2">
      <c r="A3069">
        <v>5.5463253380644801E-13</v>
      </c>
      <c r="B3069">
        <v>0.86262765607997804</v>
      </c>
      <c r="C3069">
        <v>0.69499999999999995</v>
      </c>
      <c r="D3069">
        <v>0.309</v>
      </c>
      <c r="E3069">
        <v>8.5873755209252392E-9</v>
      </c>
      <c r="F3069">
        <v>10</v>
      </c>
      <c r="G3069" t="s">
        <v>6243</v>
      </c>
      <c r="H3069" t="s">
        <v>6244</v>
      </c>
      <c r="I3069" t="s">
        <v>6243</v>
      </c>
      <c r="J3069" s="1" t="str">
        <f>HYPERLINK("https://zfin.org/ZDB-GENE-070424-30")</f>
        <v>https://zfin.org/ZDB-GENE-070424-30</v>
      </c>
      <c r="K3069" t="s">
        <v>6245</v>
      </c>
    </row>
    <row r="3070" spans="1:11" x14ac:dyDescent="0.2">
      <c r="A3070">
        <v>1.60290995525099E-12</v>
      </c>
      <c r="B3070">
        <v>0.46007065335397501</v>
      </c>
      <c r="C3070">
        <v>0.23699999999999999</v>
      </c>
      <c r="D3070">
        <v>0.04</v>
      </c>
      <c r="E3070">
        <v>2.4817854837150998E-8</v>
      </c>
      <c r="F3070">
        <v>10</v>
      </c>
      <c r="G3070" t="s">
        <v>4999</v>
      </c>
      <c r="H3070" t="s">
        <v>5000</v>
      </c>
      <c r="I3070" t="s">
        <v>4999</v>
      </c>
      <c r="J3070" s="1" t="str">
        <f>HYPERLINK("https://zfin.org/ZDB-GENE-030131-607")</f>
        <v>https://zfin.org/ZDB-GENE-030131-607</v>
      </c>
      <c r="K3070" t="s">
        <v>5001</v>
      </c>
    </row>
    <row r="3071" spans="1:11" x14ac:dyDescent="0.2">
      <c r="A3071">
        <v>2.1821347644899498E-12</v>
      </c>
      <c r="B3071">
        <v>0.70761227992421405</v>
      </c>
      <c r="C3071">
        <v>0.50800000000000001</v>
      </c>
      <c r="D3071">
        <v>0.17</v>
      </c>
      <c r="E3071">
        <v>3.37859925585978E-8</v>
      </c>
      <c r="F3071">
        <v>10</v>
      </c>
      <c r="G3071" t="s">
        <v>5193</v>
      </c>
      <c r="H3071" t="s">
        <v>5194</v>
      </c>
      <c r="I3071" t="s">
        <v>5193</v>
      </c>
      <c r="J3071" s="1" t="str">
        <f>HYPERLINK("https://zfin.org/ZDB-GENE-031118-120")</f>
        <v>https://zfin.org/ZDB-GENE-031118-120</v>
      </c>
      <c r="K3071" t="s">
        <v>5195</v>
      </c>
    </row>
    <row r="3072" spans="1:11" x14ac:dyDescent="0.2">
      <c r="A3072">
        <v>3.2337400670943299E-12</v>
      </c>
      <c r="B3072">
        <v>0.59187123377121498</v>
      </c>
      <c r="C3072">
        <v>0.35599999999999998</v>
      </c>
      <c r="D3072">
        <v>8.5000000000000006E-2</v>
      </c>
      <c r="E3072">
        <v>5.0067997458821499E-8</v>
      </c>
      <c r="F3072">
        <v>10</v>
      </c>
      <c r="G3072" t="s">
        <v>4525</v>
      </c>
      <c r="H3072" t="s">
        <v>4526</v>
      </c>
      <c r="I3072" t="s">
        <v>4525</v>
      </c>
      <c r="J3072" s="1" t="str">
        <f>HYPERLINK("https://zfin.org/ZDB-GENE-040824-3")</f>
        <v>https://zfin.org/ZDB-GENE-040824-3</v>
      </c>
      <c r="K3072" t="s">
        <v>4527</v>
      </c>
    </row>
    <row r="3073" spans="1:11" x14ac:dyDescent="0.2">
      <c r="A3073">
        <v>1.47849133752504E-11</v>
      </c>
      <c r="B3073">
        <v>0.79063013681174399</v>
      </c>
      <c r="C3073">
        <v>0.72899999999999998</v>
      </c>
      <c r="D3073">
        <v>0.35599999999999998</v>
      </c>
      <c r="E3073">
        <v>2.28914813789002E-7</v>
      </c>
      <c r="F3073">
        <v>10</v>
      </c>
      <c r="G3073" t="s">
        <v>5440</v>
      </c>
      <c r="H3073" t="s">
        <v>5441</v>
      </c>
      <c r="I3073" t="s">
        <v>5440</v>
      </c>
      <c r="J3073" s="1" t="str">
        <f>HYPERLINK("https://zfin.org/ZDB-GENE-041007-4")</f>
        <v>https://zfin.org/ZDB-GENE-041007-4</v>
      </c>
      <c r="K3073" t="s">
        <v>5442</v>
      </c>
    </row>
    <row r="3074" spans="1:11" x14ac:dyDescent="0.2">
      <c r="A3074">
        <v>1.5556472418961899E-11</v>
      </c>
      <c r="B3074">
        <v>0.258449041898137</v>
      </c>
      <c r="C3074">
        <v>0.61</v>
      </c>
      <c r="D3074">
        <v>0.21199999999999999</v>
      </c>
      <c r="E3074">
        <v>2.40860862462788E-7</v>
      </c>
      <c r="F3074">
        <v>10</v>
      </c>
      <c r="G3074" t="s">
        <v>4328</v>
      </c>
      <c r="H3074" t="s">
        <v>4329</v>
      </c>
      <c r="I3074" t="s">
        <v>4328</v>
      </c>
      <c r="J3074" s="1" t="str">
        <f>HYPERLINK("https://zfin.org/ZDB-GENE-031006-14")</f>
        <v>https://zfin.org/ZDB-GENE-031006-14</v>
      </c>
      <c r="K3074" t="s">
        <v>4330</v>
      </c>
    </row>
    <row r="3075" spans="1:11" x14ac:dyDescent="0.2">
      <c r="A3075">
        <v>5.0772797854163698E-11</v>
      </c>
      <c r="B3075">
        <v>0.50570638908200505</v>
      </c>
      <c r="C3075">
        <v>0.30499999999999999</v>
      </c>
      <c r="D3075">
        <v>6.9000000000000006E-2</v>
      </c>
      <c r="E3075">
        <v>7.86115229176017E-7</v>
      </c>
      <c r="F3075">
        <v>10</v>
      </c>
      <c r="G3075" t="s">
        <v>4429</v>
      </c>
      <c r="H3075" t="s">
        <v>4430</v>
      </c>
      <c r="I3075" t="s">
        <v>4429</v>
      </c>
      <c r="J3075" s="1" t="str">
        <f>HYPERLINK("https://zfin.org/ZDB-GENE-010131-3")</f>
        <v>https://zfin.org/ZDB-GENE-010131-3</v>
      </c>
      <c r="K3075" t="s">
        <v>4431</v>
      </c>
    </row>
    <row r="3076" spans="1:11" x14ac:dyDescent="0.2">
      <c r="A3076">
        <v>8.8039578560157097E-11</v>
      </c>
      <c r="B3076">
        <v>0.59957798914401605</v>
      </c>
      <c r="C3076">
        <v>0.30499999999999999</v>
      </c>
      <c r="D3076">
        <v>7.2999999999999995E-2</v>
      </c>
      <c r="E3076">
        <v>1.36311679484691E-6</v>
      </c>
      <c r="F3076">
        <v>10</v>
      </c>
      <c r="G3076" t="s">
        <v>4717</v>
      </c>
      <c r="H3076" t="s">
        <v>4718</v>
      </c>
      <c r="I3076" t="s">
        <v>4717</v>
      </c>
      <c r="J3076" s="1" t="str">
        <f>HYPERLINK("https://zfin.org/ZDB-GENE-030131-5753")</f>
        <v>https://zfin.org/ZDB-GENE-030131-5753</v>
      </c>
      <c r="K3076" t="s">
        <v>4719</v>
      </c>
    </row>
    <row r="3077" spans="1:11" x14ac:dyDescent="0.2">
      <c r="A3077">
        <v>2.08960076310291E-10</v>
      </c>
      <c r="B3077">
        <v>0.51350303362383698</v>
      </c>
      <c r="C3077">
        <v>0.22</v>
      </c>
      <c r="D3077">
        <v>4.2000000000000003E-2</v>
      </c>
      <c r="E3077">
        <v>3.2353288615122399E-6</v>
      </c>
      <c r="F3077">
        <v>10</v>
      </c>
      <c r="G3077" t="s">
        <v>5074</v>
      </c>
      <c r="H3077" t="s">
        <v>5075</v>
      </c>
      <c r="I3077" t="s">
        <v>5074</v>
      </c>
      <c r="J3077" s="1" t="str">
        <f>HYPERLINK("https://zfin.org/ZDB-GENE-030131-9676")</f>
        <v>https://zfin.org/ZDB-GENE-030131-9676</v>
      </c>
      <c r="K3077" t="s">
        <v>5076</v>
      </c>
    </row>
    <row r="3078" spans="1:11" x14ac:dyDescent="0.2">
      <c r="A3078">
        <v>2.2683109478250201E-10</v>
      </c>
      <c r="B3078">
        <v>0.44671697792723097</v>
      </c>
      <c r="C3078">
        <v>0.94899999999999995</v>
      </c>
      <c r="D3078">
        <v>0.94299999999999995</v>
      </c>
      <c r="E3078">
        <v>3.5120258405174699E-6</v>
      </c>
      <c r="F3078">
        <v>10</v>
      </c>
      <c r="G3078" t="s">
        <v>2135</v>
      </c>
      <c r="H3078" t="s">
        <v>2136</v>
      </c>
      <c r="I3078" t="s">
        <v>2135</v>
      </c>
      <c r="J3078" s="1" t="str">
        <f>HYPERLINK("https://zfin.org/ZDB-GENE-030131-8654")</f>
        <v>https://zfin.org/ZDB-GENE-030131-8654</v>
      </c>
      <c r="K3078" t="s">
        <v>2137</v>
      </c>
    </row>
    <row r="3079" spans="1:11" x14ac:dyDescent="0.2">
      <c r="A3079">
        <v>3.1557956946673502E-10</v>
      </c>
      <c r="B3079">
        <v>0.312183303565369</v>
      </c>
      <c r="C3079">
        <v>0.10199999999999999</v>
      </c>
      <c r="D3079">
        <v>8.9999999999999993E-3</v>
      </c>
      <c r="E3079">
        <v>4.8861184740534601E-6</v>
      </c>
      <c r="F3079">
        <v>10</v>
      </c>
      <c r="G3079" t="s">
        <v>6246</v>
      </c>
      <c r="H3079" t="s">
        <v>6247</v>
      </c>
      <c r="I3079" t="s">
        <v>6246</v>
      </c>
      <c r="J3079" s="1" t="str">
        <f>HYPERLINK("https://zfin.org/ZDB-GENE-110411-228")</f>
        <v>https://zfin.org/ZDB-GENE-110411-228</v>
      </c>
      <c r="K3079" t="s">
        <v>6248</v>
      </c>
    </row>
    <row r="3080" spans="1:11" x14ac:dyDescent="0.2">
      <c r="A3080">
        <v>6.2900577100343497E-10</v>
      </c>
      <c r="B3080">
        <v>0.34147103853030197</v>
      </c>
      <c r="C3080">
        <v>1</v>
      </c>
      <c r="D3080">
        <v>0.99399999999999999</v>
      </c>
      <c r="E3080">
        <v>9.7388963524461792E-6</v>
      </c>
      <c r="F3080">
        <v>10</v>
      </c>
      <c r="G3080" t="s">
        <v>914</v>
      </c>
      <c r="H3080" t="s">
        <v>915</v>
      </c>
      <c r="I3080" t="s">
        <v>914</v>
      </c>
      <c r="J3080" s="1" t="str">
        <f>HYPERLINK("https://zfin.org/ZDB-GENE-030131-8663")</f>
        <v>https://zfin.org/ZDB-GENE-030131-8663</v>
      </c>
      <c r="K3080" t="s">
        <v>916</v>
      </c>
    </row>
    <row r="3081" spans="1:11" x14ac:dyDescent="0.2">
      <c r="A3081">
        <v>8.7887060456327799E-10</v>
      </c>
      <c r="B3081">
        <v>0.39337274119154803</v>
      </c>
      <c r="C3081">
        <v>0.16900000000000001</v>
      </c>
      <c r="D3081">
        <v>2.5999999999999999E-2</v>
      </c>
      <c r="E3081">
        <v>1.36075535704532E-5</v>
      </c>
      <c r="F3081">
        <v>10</v>
      </c>
      <c r="G3081" t="s">
        <v>6249</v>
      </c>
      <c r="H3081" t="s">
        <v>6250</v>
      </c>
      <c r="I3081" t="s">
        <v>6249</v>
      </c>
      <c r="J3081" s="1" t="str">
        <f>HYPERLINK("https://zfin.org/ZDB-GENE-030131-6030")</f>
        <v>https://zfin.org/ZDB-GENE-030131-6030</v>
      </c>
      <c r="K3081" t="s">
        <v>6251</v>
      </c>
    </row>
    <row r="3082" spans="1:11" x14ac:dyDescent="0.2">
      <c r="A3082">
        <v>1.05906503012133E-9</v>
      </c>
      <c r="B3082">
        <v>0.61012202390952397</v>
      </c>
      <c r="C3082">
        <v>0.32200000000000001</v>
      </c>
      <c r="D3082">
        <v>8.5999999999999993E-2</v>
      </c>
      <c r="E3082">
        <v>1.6397503861368599E-5</v>
      </c>
      <c r="F3082">
        <v>10</v>
      </c>
      <c r="G3082" t="s">
        <v>6252</v>
      </c>
      <c r="H3082" t="s">
        <v>6253</v>
      </c>
      <c r="I3082" t="s">
        <v>6252</v>
      </c>
      <c r="J3082" s="1" t="str">
        <f>HYPERLINK("https://zfin.org/ZDB-GENE-031001-8")</f>
        <v>https://zfin.org/ZDB-GENE-031001-8</v>
      </c>
      <c r="K3082" t="s">
        <v>6254</v>
      </c>
    </row>
    <row r="3083" spans="1:11" x14ac:dyDescent="0.2">
      <c r="A3083">
        <v>1.30340299278987E-9</v>
      </c>
      <c r="B3083">
        <v>0.56693279974703803</v>
      </c>
      <c r="C3083">
        <v>0.23699999999999999</v>
      </c>
      <c r="D3083">
        <v>5.0999999999999997E-2</v>
      </c>
      <c r="E3083">
        <v>2.0180588537365601E-5</v>
      </c>
      <c r="F3083">
        <v>10</v>
      </c>
      <c r="G3083" t="s">
        <v>4402</v>
      </c>
      <c r="H3083" t="s">
        <v>4403</v>
      </c>
      <c r="I3083" t="s">
        <v>4402</v>
      </c>
      <c r="J3083" s="1" t="str">
        <f>HYPERLINK("https://zfin.org/ZDB-GENE-031112-11")</f>
        <v>https://zfin.org/ZDB-GENE-031112-11</v>
      </c>
      <c r="K3083" t="s">
        <v>4404</v>
      </c>
    </row>
    <row r="3084" spans="1:11" x14ac:dyDescent="0.2">
      <c r="A3084">
        <v>2.0781004413286398E-9</v>
      </c>
      <c r="B3084">
        <v>0.59890206102455101</v>
      </c>
      <c r="C3084">
        <v>0.441</v>
      </c>
      <c r="D3084">
        <v>0.153</v>
      </c>
      <c r="E3084">
        <v>3.2175229133091403E-5</v>
      </c>
      <c r="F3084">
        <v>10</v>
      </c>
      <c r="G3084" t="s">
        <v>4642</v>
      </c>
      <c r="H3084" t="s">
        <v>4643</v>
      </c>
      <c r="I3084" t="s">
        <v>4642</v>
      </c>
      <c r="J3084" s="1" t="str">
        <f>HYPERLINK("https://zfin.org/ZDB-GENE-020416-1")</f>
        <v>https://zfin.org/ZDB-GENE-020416-1</v>
      </c>
      <c r="K3084" t="s">
        <v>4644</v>
      </c>
    </row>
    <row r="3085" spans="1:11" x14ac:dyDescent="0.2">
      <c r="A3085">
        <v>2.13052769862418E-9</v>
      </c>
      <c r="B3085">
        <v>0.34947020426643</v>
      </c>
      <c r="C3085">
        <v>1</v>
      </c>
      <c r="D3085">
        <v>0.99099999999999999</v>
      </c>
      <c r="E3085">
        <v>3.2986960357798201E-5</v>
      </c>
      <c r="F3085">
        <v>10</v>
      </c>
      <c r="G3085" t="s">
        <v>1315</v>
      </c>
      <c r="H3085" t="s">
        <v>1316</v>
      </c>
      <c r="I3085" t="s">
        <v>1315</v>
      </c>
      <c r="J3085" s="1" t="str">
        <f>HYPERLINK("https://zfin.org/ZDB-GENE-040426-2284")</f>
        <v>https://zfin.org/ZDB-GENE-040426-2284</v>
      </c>
      <c r="K3085" t="s">
        <v>1317</v>
      </c>
    </row>
    <row r="3086" spans="1:11" x14ac:dyDescent="0.2">
      <c r="A3086">
        <v>2.1564390029225401E-9</v>
      </c>
      <c r="B3086">
        <v>0.318018597863434</v>
      </c>
      <c r="C3086">
        <v>1</v>
      </c>
      <c r="D3086">
        <v>0.999</v>
      </c>
      <c r="E3086">
        <v>3.3388145082249701E-5</v>
      </c>
      <c r="F3086">
        <v>10</v>
      </c>
      <c r="G3086" t="s">
        <v>818</v>
      </c>
      <c r="H3086" t="s">
        <v>819</v>
      </c>
      <c r="I3086" t="s">
        <v>818</v>
      </c>
      <c r="J3086" s="1" t="str">
        <f>HYPERLINK("https://zfin.org/ZDB-GENE-030131-7528")</f>
        <v>https://zfin.org/ZDB-GENE-030131-7528</v>
      </c>
      <c r="K3086" t="s">
        <v>820</v>
      </c>
    </row>
    <row r="3087" spans="1:11" x14ac:dyDescent="0.2">
      <c r="A3087">
        <v>4.0537334433074001E-44</v>
      </c>
      <c r="B3087">
        <v>1.2360716455609999</v>
      </c>
      <c r="C3087">
        <v>0.66800000000000004</v>
      </c>
      <c r="D3087">
        <v>0.24399999999999999</v>
      </c>
      <c r="E3087">
        <v>6.2763954902728504E-40</v>
      </c>
      <c r="F3087">
        <v>11</v>
      </c>
      <c r="G3087" t="s">
        <v>5136</v>
      </c>
      <c r="H3087" t="s">
        <v>5137</v>
      </c>
      <c r="I3087" t="s">
        <v>5136</v>
      </c>
      <c r="J3087" s="1" t="str">
        <f>HYPERLINK("https://zfin.org/ZDB-GENE-110411-139")</f>
        <v>https://zfin.org/ZDB-GENE-110411-139</v>
      </c>
      <c r="K3087" t="s">
        <v>5138</v>
      </c>
    </row>
    <row r="3088" spans="1:11" x14ac:dyDescent="0.2">
      <c r="A3088">
        <v>9.7037084093766298E-24</v>
      </c>
      <c r="B3088">
        <v>0.296268051715811</v>
      </c>
      <c r="C3088">
        <v>1</v>
      </c>
      <c r="D3088">
        <v>0.999</v>
      </c>
      <c r="E3088">
        <v>1.50242517302378E-19</v>
      </c>
      <c r="F3088">
        <v>11</v>
      </c>
      <c r="G3088" t="s">
        <v>818</v>
      </c>
      <c r="H3088" t="s">
        <v>819</v>
      </c>
      <c r="I3088" t="s">
        <v>818</v>
      </c>
      <c r="J3088" s="1" t="str">
        <f>HYPERLINK("https://zfin.org/ZDB-GENE-030131-7528")</f>
        <v>https://zfin.org/ZDB-GENE-030131-7528</v>
      </c>
      <c r="K3088" t="s">
        <v>820</v>
      </c>
    </row>
    <row r="3089" spans="1:11" x14ac:dyDescent="0.2">
      <c r="A3089">
        <v>1.9477009104946799E-23</v>
      </c>
      <c r="B3089">
        <v>0.32998856201636301</v>
      </c>
      <c r="C3089">
        <v>1</v>
      </c>
      <c r="D3089">
        <v>0.99299999999999999</v>
      </c>
      <c r="E3089">
        <v>3.0156253197189102E-19</v>
      </c>
      <c r="F3089">
        <v>11</v>
      </c>
      <c r="G3089" t="s">
        <v>914</v>
      </c>
      <c r="H3089" t="s">
        <v>915</v>
      </c>
      <c r="I3089" t="s">
        <v>914</v>
      </c>
      <c r="J3089" s="1" t="str">
        <f>HYPERLINK("https://zfin.org/ZDB-GENE-030131-8663")</f>
        <v>https://zfin.org/ZDB-GENE-030131-8663</v>
      </c>
      <c r="K3089" t="s">
        <v>916</v>
      </c>
    </row>
    <row r="3090" spans="1:11" x14ac:dyDescent="0.2">
      <c r="A3090">
        <v>3.0126070562177901E-21</v>
      </c>
      <c r="B3090">
        <v>0.35448663937040398</v>
      </c>
      <c r="C3090">
        <v>0.99</v>
      </c>
      <c r="D3090">
        <v>0.95899999999999996</v>
      </c>
      <c r="E3090">
        <v>4.66441950514201E-17</v>
      </c>
      <c r="F3090">
        <v>11</v>
      </c>
      <c r="G3090" t="s">
        <v>1333</v>
      </c>
      <c r="H3090" t="s">
        <v>1334</v>
      </c>
      <c r="I3090" t="s">
        <v>1333</v>
      </c>
      <c r="J3090" s="1" t="str">
        <f>HYPERLINK("https://zfin.org/ZDB-GENE-030131-8626")</f>
        <v>https://zfin.org/ZDB-GENE-030131-8626</v>
      </c>
      <c r="K3090" t="s">
        <v>1335</v>
      </c>
    </row>
    <row r="3091" spans="1:11" x14ac:dyDescent="0.2">
      <c r="A3091">
        <v>2.20742673881814E-20</v>
      </c>
      <c r="B3091">
        <v>0.53468596456206596</v>
      </c>
      <c r="C3091">
        <v>0.92200000000000004</v>
      </c>
      <c r="D3091">
        <v>0.73899999999999999</v>
      </c>
      <c r="E3091">
        <v>3.4177588197121298E-16</v>
      </c>
      <c r="F3091">
        <v>11</v>
      </c>
      <c r="G3091" t="s">
        <v>2018</v>
      </c>
      <c r="H3091" t="s">
        <v>2019</v>
      </c>
      <c r="I3091" t="s">
        <v>2018</v>
      </c>
      <c r="J3091" s="1" t="str">
        <f>HYPERLINK("https://zfin.org/ZDB-GENE-101011-2")</f>
        <v>https://zfin.org/ZDB-GENE-101011-2</v>
      </c>
      <c r="K3091" t="s">
        <v>2020</v>
      </c>
    </row>
    <row r="3092" spans="1:11" x14ac:dyDescent="0.2">
      <c r="A3092">
        <v>3.8490391009467899E-20</v>
      </c>
      <c r="B3092">
        <v>0.55781384102622</v>
      </c>
      <c r="C3092">
        <v>0.91700000000000004</v>
      </c>
      <c r="D3092">
        <v>0.75700000000000001</v>
      </c>
      <c r="E3092">
        <v>5.9594672399959199E-16</v>
      </c>
      <c r="F3092">
        <v>11</v>
      </c>
      <c r="G3092" t="s">
        <v>2606</v>
      </c>
      <c r="H3092" t="s">
        <v>2607</v>
      </c>
      <c r="I3092" t="s">
        <v>2606</v>
      </c>
      <c r="J3092" s="1" t="str">
        <f>HYPERLINK("https://zfin.org/ZDB-GENE-121214-200")</f>
        <v>https://zfin.org/ZDB-GENE-121214-200</v>
      </c>
      <c r="K3092" t="s">
        <v>2608</v>
      </c>
    </row>
    <row r="3093" spans="1:11" x14ac:dyDescent="0.2">
      <c r="A3093">
        <v>6.5493641167946898E-20</v>
      </c>
      <c r="B3093">
        <v>0.31075097339771102</v>
      </c>
      <c r="C3093">
        <v>1</v>
      </c>
      <c r="D3093">
        <v>0.99099999999999999</v>
      </c>
      <c r="E3093">
        <v>1.0140380462033199E-15</v>
      </c>
      <c r="F3093">
        <v>11</v>
      </c>
      <c r="G3093" t="s">
        <v>1180</v>
      </c>
      <c r="H3093" t="s">
        <v>1181</v>
      </c>
      <c r="I3093" t="s">
        <v>1180</v>
      </c>
      <c r="J3093" s="1" t="str">
        <f>HYPERLINK("https://zfin.org/ZDB-GENE-070928-31")</f>
        <v>https://zfin.org/ZDB-GENE-070928-31</v>
      </c>
      <c r="K3093" t="s">
        <v>1182</v>
      </c>
    </row>
    <row r="3094" spans="1:11" x14ac:dyDescent="0.2">
      <c r="A3094">
        <v>8.3986149357944104E-20</v>
      </c>
      <c r="B3094">
        <v>0.83646909634577904</v>
      </c>
      <c r="C3094">
        <v>0.60099999999999998</v>
      </c>
      <c r="D3094">
        <v>0.34499999999999997</v>
      </c>
      <c r="E3094">
        <v>1.3003575505090499E-15</v>
      </c>
      <c r="F3094">
        <v>11</v>
      </c>
      <c r="G3094" t="s">
        <v>3353</v>
      </c>
      <c r="H3094" t="s">
        <v>3354</v>
      </c>
      <c r="I3094" t="s">
        <v>3353</v>
      </c>
      <c r="J3094" s="1" t="str">
        <f>HYPERLINK("https://zfin.org/ZDB-GENE-980526-416")</f>
        <v>https://zfin.org/ZDB-GENE-980526-416</v>
      </c>
      <c r="K3094" t="s">
        <v>3355</v>
      </c>
    </row>
    <row r="3095" spans="1:11" x14ac:dyDescent="0.2">
      <c r="A3095">
        <v>2.0758324018328901E-19</v>
      </c>
      <c r="B3095">
        <v>0.34064153318812901</v>
      </c>
      <c r="C3095">
        <v>0.995</v>
      </c>
      <c r="D3095">
        <v>0.99</v>
      </c>
      <c r="E3095">
        <v>3.21401130775787E-15</v>
      </c>
      <c r="F3095">
        <v>11</v>
      </c>
      <c r="G3095" t="s">
        <v>1183</v>
      </c>
      <c r="H3095" t="s">
        <v>1184</v>
      </c>
      <c r="I3095" t="s">
        <v>1183</v>
      </c>
      <c r="J3095" s="1" t="str">
        <f>HYPERLINK("https://zfin.org/ZDB-GENE-030131-2022")</f>
        <v>https://zfin.org/ZDB-GENE-030131-2022</v>
      </c>
      <c r="K3095" t="s">
        <v>1185</v>
      </c>
    </row>
    <row r="3096" spans="1:11" x14ac:dyDescent="0.2">
      <c r="A3096">
        <v>1.1590400683706201E-17</v>
      </c>
      <c r="B3096">
        <v>0.88745607151542705</v>
      </c>
      <c r="C3096">
        <v>0.378</v>
      </c>
      <c r="D3096">
        <v>0.14699999999999999</v>
      </c>
      <c r="E3096">
        <v>1.79454173785823E-13</v>
      </c>
      <c r="F3096">
        <v>11</v>
      </c>
      <c r="G3096" t="s">
        <v>6255</v>
      </c>
      <c r="H3096" t="s">
        <v>6256</v>
      </c>
      <c r="I3096" t="s">
        <v>6255</v>
      </c>
      <c r="J3096" s="1" t="str">
        <f>HYPERLINK("https://zfin.org/ZDB-GENE-041010-89")</f>
        <v>https://zfin.org/ZDB-GENE-041010-89</v>
      </c>
      <c r="K3096" t="s">
        <v>6257</v>
      </c>
    </row>
    <row r="3097" spans="1:11" x14ac:dyDescent="0.2">
      <c r="A3097">
        <v>1.8197136882812299E-17</v>
      </c>
      <c r="B3097">
        <v>-1.2021486228829901</v>
      </c>
      <c r="C3097">
        <v>0.254</v>
      </c>
      <c r="D3097">
        <v>0.56299999999999994</v>
      </c>
      <c r="E3097">
        <v>2.8174627035658302E-13</v>
      </c>
      <c r="F3097">
        <v>11</v>
      </c>
      <c r="G3097" t="s">
        <v>5961</v>
      </c>
      <c r="H3097" t="s">
        <v>5962</v>
      </c>
      <c r="I3097" t="s">
        <v>5961</v>
      </c>
      <c r="J3097" s="1" t="str">
        <f>HYPERLINK("https://zfin.org/ZDB-GENE-070424-74")</f>
        <v>https://zfin.org/ZDB-GENE-070424-74</v>
      </c>
      <c r="K3097" t="s">
        <v>5963</v>
      </c>
    </row>
    <row r="3098" spans="1:11" x14ac:dyDescent="0.2">
      <c r="A3098">
        <v>2.1945360039835801E-17</v>
      </c>
      <c r="B3098">
        <v>0.35339569346882799</v>
      </c>
      <c r="C3098">
        <v>0.97899999999999998</v>
      </c>
      <c r="D3098">
        <v>0.94099999999999995</v>
      </c>
      <c r="E3098">
        <v>3.3978000949677801E-13</v>
      </c>
      <c r="F3098">
        <v>11</v>
      </c>
      <c r="G3098" t="s">
        <v>1312</v>
      </c>
      <c r="H3098" t="s">
        <v>1313</v>
      </c>
      <c r="I3098" t="s">
        <v>1312</v>
      </c>
      <c r="J3098" s="1" t="str">
        <f>HYPERLINK("https://zfin.org/ZDB-GENE-040718-190")</f>
        <v>https://zfin.org/ZDB-GENE-040718-190</v>
      </c>
      <c r="K3098" t="s">
        <v>1314</v>
      </c>
    </row>
    <row r="3099" spans="1:11" x14ac:dyDescent="0.2">
      <c r="A3099">
        <v>2.7169975426408298E-17</v>
      </c>
      <c r="B3099">
        <v>0.63617318182761295</v>
      </c>
      <c r="C3099">
        <v>0.63200000000000001</v>
      </c>
      <c r="D3099">
        <v>0.38700000000000001</v>
      </c>
      <c r="E3099">
        <v>4.2067272952707899E-13</v>
      </c>
      <c r="F3099">
        <v>11</v>
      </c>
      <c r="G3099" t="s">
        <v>6183</v>
      </c>
      <c r="H3099" t="s">
        <v>6184</v>
      </c>
      <c r="I3099" t="s">
        <v>6183</v>
      </c>
      <c r="J3099" s="1" t="str">
        <f>HYPERLINK("https://zfin.org/ZDB-GENE-080723-23")</f>
        <v>https://zfin.org/ZDB-GENE-080723-23</v>
      </c>
      <c r="K3099" t="s">
        <v>6185</v>
      </c>
    </row>
    <row r="3100" spans="1:11" x14ac:dyDescent="0.2">
      <c r="A3100">
        <v>6.53931703171225E-17</v>
      </c>
      <c r="B3100">
        <v>0.271377551531294</v>
      </c>
      <c r="C3100">
        <v>1</v>
      </c>
      <c r="D3100">
        <v>0.99</v>
      </c>
      <c r="E3100">
        <v>1.01248245602001E-12</v>
      </c>
      <c r="F3100">
        <v>11</v>
      </c>
      <c r="G3100" t="s">
        <v>1155</v>
      </c>
      <c r="H3100" t="s">
        <v>1156</v>
      </c>
      <c r="I3100" t="s">
        <v>1157</v>
      </c>
      <c r="J3100" s="1" t="str">
        <f>HYPERLINK("https://zfin.org/ZDB-GENE-040625-39")</f>
        <v>https://zfin.org/ZDB-GENE-040625-39</v>
      </c>
      <c r="K3100" t="s">
        <v>1158</v>
      </c>
    </row>
    <row r="3101" spans="1:11" x14ac:dyDescent="0.2">
      <c r="A3101">
        <v>1.43637939981773E-16</v>
      </c>
      <c r="B3101">
        <v>0.36391629178272</v>
      </c>
      <c r="C3101">
        <v>0.98399999999999999</v>
      </c>
      <c r="D3101">
        <v>0.92400000000000004</v>
      </c>
      <c r="E3101">
        <v>2.2239462247378002E-12</v>
      </c>
      <c r="F3101">
        <v>11</v>
      </c>
      <c r="G3101" t="s">
        <v>1694</v>
      </c>
      <c r="H3101" t="s">
        <v>1695</v>
      </c>
      <c r="I3101" t="s">
        <v>1694</v>
      </c>
      <c r="J3101" s="1" t="str">
        <f>HYPERLINK("https://zfin.org/ZDB-GENE-020419-2")</f>
        <v>https://zfin.org/ZDB-GENE-020419-2</v>
      </c>
      <c r="K3101" t="s">
        <v>1696</v>
      </c>
    </row>
    <row r="3102" spans="1:11" x14ac:dyDescent="0.2">
      <c r="A3102">
        <v>2.45639972871116E-16</v>
      </c>
      <c r="B3102">
        <v>0.26794888117528398</v>
      </c>
      <c r="C3102">
        <v>0.995</v>
      </c>
      <c r="D3102">
        <v>0.98599999999999999</v>
      </c>
      <c r="E3102">
        <v>3.8032436999634796E-12</v>
      </c>
      <c r="F3102">
        <v>11</v>
      </c>
      <c r="G3102" t="s">
        <v>1393</v>
      </c>
      <c r="H3102" t="s">
        <v>1394</v>
      </c>
      <c r="I3102" t="s">
        <v>1393</v>
      </c>
      <c r="J3102" s="1" t="str">
        <f>HYPERLINK("https://zfin.org/ZDB-GENE-040426-1716")</f>
        <v>https://zfin.org/ZDB-GENE-040426-1716</v>
      </c>
      <c r="K3102" t="s">
        <v>1395</v>
      </c>
    </row>
    <row r="3103" spans="1:11" x14ac:dyDescent="0.2">
      <c r="A3103">
        <v>5.4368102755968995E-16</v>
      </c>
      <c r="B3103">
        <v>-1.24161000055683</v>
      </c>
      <c r="C3103">
        <v>8.3000000000000004E-2</v>
      </c>
      <c r="D3103">
        <v>0.373</v>
      </c>
      <c r="E3103">
        <v>8.41781334970668E-12</v>
      </c>
      <c r="F3103">
        <v>11</v>
      </c>
      <c r="G3103" t="s">
        <v>5881</v>
      </c>
      <c r="H3103" t="s">
        <v>5882</v>
      </c>
      <c r="I3103" t="s">
        <v>5881</v>
      </c>
      <c r="J3103" s="1" t="str">
        <f>HYPERLINK("https://zfin.org/")</f>
        <v>https://zfin.org/</v>
      </c>
    </row>
    <row r="3104" spans="1:11" x14ac:dyDescent="0.2">
      <c r="A3104">
        <v>5.83018998900295E-16</v>
      </c>
      <c r="B3104">
        <v>0.30039450020073</v>
      </c>
      <c r="C3104">
        <v>0.995</v>
      </c>
      <c r="D3104">
        <v>0.97599999999999998</v>
      </c>
      <c r="E3104">
        <v>9.0268831599732607E-12</v>
      </c>
      <c r="F3104">
        <v>11</v>
      </c>
      <c r="G3104" t="s">
        <v>1435</v>
      </c>
      <c r="H3104" t="s">
        <v>1436</v>
      </c>
      <c r="I3104" t="s">
        <v>1435</v>
      </c>
      <c r="J3104" s="1" t="str">
        <f>HYPERLINK("https://zfin.org/ZDB-GENE-040801-165")</f>
        <v>https://zfin.org/ZDB-GENE-040801-165</v>
      </c>
      <c r="K3104" t="s">
        <v>1437</v>
      </c>
    </row>
    <row r="3105" spans="1:11" x14ac:dyDescent="0.2">
      <c r="A3105">
        <v>1.33081364684125E-15</v>
      </c>
      <c r="B3105">
        <v>0.54519245454128595</v>
      </c>
      <c r="C3105">
        <v>0.76700000000000002</v>
      </c>
      <c r="D3105">
        <v>0.52600000000000002</v>
      </c>
      <c r="E3105">
        <v>2.06049876940431E-11</v>
      </c>
      <c r="F3105">
        <v>11</v>
      </c>
      <c r="G3105" t="s">
        <v>2672</v>
      </c>
      <c r="H3105" t="s">
        <v>2673</v>
      </c>
      <c r="I3105" t="s">
        <v>2672</v>
      </c>
      <c r="J3105" s="1" t="str">
        <f>HYPERLINK("https://zfin.org/ZDB-GENE-040426-2720")</f>
        <v>https://zfin.org/ZDB-GENE-040426-2720</v>
      </c>
      <c r="K3105" t="s">
        <v>2674</v>
      </c>
    </row>
    <row r="3106" spans="1:11" x14ac:dyDescent="0.2">
      <c r="A3106">
        <v>2.8689440671333001E-15</v>
      </c>
      <c r="B3106">
        <v>0.341820154549001</v>
      </c>
      <c r="C3106">
        <v>0.98399999999999999</v>
      </c>
      <c r="D3106">
        <v>0.95799999999999996</v>
      </c>
      <c r="E3106">
        <v>4.4419860991424797E-11</v>
      </c>
      <c r="F3106">
        <v>11</v>
      </c>
      <c r="G3106" t="s">
        <v>1775</v>
      </c>
      <c r="H3106" t="s">
        <v>1776</v>
      </c>
      <c r="I3106" t="s">
        <v>1775</v>
      </c>
      <c r="J3106" s="1" t="str">
        <f>HYPERLINK("https://zfin.org/ZDB-GENE-040622-5")</f>
        <v>https://zfin.org/ZDB-GENE-040622-5</v>
      </c>
      <c r="K3106" t="s">
        <v>1777</v>
      </c>
    </row>
    <row r="3107" spans="1:11" x14ac:dyDescent="0.2">
      <c r="A3107">
        <v>5.7519518801647098E-15</v>
      </c>
      <c r="B3107">
        <v>0.272868079131593</v>
      </c>
      <c r="C3107">
        <v>0.99</v>
      </c>
      <c r="D3107">
        <v>0.98299999999999998</v>
      </c>
      <c r="E3107">
        <v>8.9057470960590099E-11</v>
      </c>
      <c r="F3107">
        <v>11</v>
      </c>
      <c r="G3107" t="s">
        <v>1165</v>
      </c>
      <c r="H3107" t="s">
        <v>1166</v>
      </c>
      <c r="I3107" t="s">
        <v>1165</v>
      </c>
      <c r="J3107" s="1" t="str">
        <f>HYPERLINK("https://zfin.org/ZDB-GENE-040426-1033")</f>
        <v>https://zfin.org/ZDB-GENE-040426-1033</v>
      </c>
      <c r="K3107" t="s">
        <v>1167</v>
      </c>
    </row>
    <row r="3108" spans="1:11" x14ac:dyDescent="0.2">
      <c r="A3108">
        <v>6.62486791404767E-15</v>
      </c>
      <c r="B3108">
        <v>-0.93809234204098702</v>
      </c>
      <c r="C3108">
        <v>6.7000000000000004E-2</v>
      </c>
      <c r="D3108">
        <v>0.34300000000000003</v>
      </c>
      <c r="E3108">
        <v>1.025728299132E-10</v>
      </c>
      <c r="F3108">
        <v>11</v>
      </c>
      <c r="G3108" t="s">
        <v>1321</v>
      </c>
      <c r="H3108" t="s">
        <v>1322</v>
      </c>
      <c r="I3108" t="s">
        <v>1321</v>
      </c>
      <c r="J3108" s="1" t="str">
        <f>HYPERLINK("https://zfin.org/ZDB-GENE-040801-218")</f>
        <v>https://zfin.org/ZDB-GENE-040801-218</v>
      </c>
      <c r="K3108" t="s">
        <v>1323</v>
      </c>
    </row>
    <row r="3109" spans="1:11" x14ac:dyDescent="0.2">
      <c r="A3109">
        <v>8.2327069117868806E-15</v>
      </c>
      <c r="B3109">
        <v>-0.755101040632567</v>
      </c>
      <c r="C3109">
        <v>0.503</v>
      </c>
      <c r="D3109">
        <v>0.75900000000000001</v>
      </c>
      <c r="E3109">
        <v>1.2746700111519601E-10</v>
      </c>
      <c r="F3109">
        <v>11</v>
      </c>
      <c r="G3109" t="s">
        <v>3365</v>
      </c>
      <c r="H3109" t="s">
        <v>3366</v>
      </c>
      <c r="I3109" t="s">
        <v>3365</v>
      </c>
      <c r="J3109" s="1" t="str">
        <f>HYPERLINK("https://zfin.org/ZDB-GENE-030411-5")</f>
        <v>https://zfin.org/ZDB-GENE-030411-5</v>
      </c>
      <c r="K3109" t="s">
        <v>3367</v>
      </c>
    </row>
    <row r="3110" spans="1:11" x14ac:dyDescent="0.2">
      <c r="A3110">
        <v>1.4979074667316898E-14</v>
      </c>
      <c r="B3110">
        <v>0.27067076943336599</v>
      </c>
      <c r="C3110">
        <v>1</v>
      </c>
      <c r="D3110">
        <v>0.99</v>
      </c>
      <c r="E3110">
        <v>2.3192101307406699E-10</v>
      </c>
      <c r="F3110">
        <v>11</v>
      </c>
      <c r="G3110" t="s">
        <v>1315</v>
      </c>
      <c r="H3110" t="s">
        <v>1316</v>
      </c>
      <c r="I3110" t="s">
        <v>1315</v>
      </c>
      <c r="J3110" s="1" t="str">
        <f>HYPERLINK("https://zfin.org/ZDB-GENE-040426-2284")</f>
        <v>https://zfin.org/ZDB-GENE-040426-2284</v>
      </c>
      <c r="K3110" t="s">
        <v>1317</v>
      </c>
    </row>
    <row r="3111" spans="1:11" x14ac:dyDescent="0.2">
      <c r="A3111">
        <v>1.85115785453993E-14</v>
      </c>
      <c r="B3111">
        <v>-1.4181522554688</v>
      </c>
      <c r="C3111">
        <v>0.25900000000000001</v>
      </c>
      <c r="D3111">
        <v>0.53100000000000003</v>
      </c>
      <c r="E3111">
        <v>2.8661477061841698E-10</v>
      </c>
      <c r="F3111">
        <v>11</v>
      </c>
      <c r="G3111" t="s">
        <v>5907</v>
      </c>
      <c r="H3111" t="s">
        <v>5908</v>
      </c>
      <c r="I3111" t="s">
        <v>5907</v>
      </c>
      <c r="J3111" s="1" t="str">
        <f>HYPERLINK("https://zfin.org/ZDB-GENE-030131-688")</f>
        <v>https://zfin.org/ZDB-GENE-030131-688</v>
      </c>
      <c r="K3111" t="s">
        <v>5909</v>
      </c>
    </row>
    <row r="3112" spans="1:11" x14ac:dyDescent="0.2">
      <c r="A3112">
        <v>2.46893162294343E-14</v>
      </c>
      <c r="B3112">
        <v>0.28186073627685698</v>
      </c>
      <c r="C3112">
        <v>0.99</v>
      </c>
      <c r="D3112">
        <v>0.97099999999999997</v>
      </c>
      <c r="E3112">
        <v>3.8226468318033099E-10</v>
      </c>
      <c r="F3112">
        <v>11</v>
      </c>
      <c r="G3112" t="s">
        <v>1360</v>
      </c>
      <c r="H3112" t="s">
        <v>1361</v>
      </c>
      <c r="I3112" t="s">
        <v>1360</v>
      </c>
      <c r="J3112" s="1" t="str">
        <f>HYPERLINK("https://zfin.org/ZDB-GENE-030131-8708")</f>
        <v>https://zfin.org/ZDB-GENE-030131-8708</v>
      </c>
      <c r="K3112" t="s">
        <v>1362</v>
      </c>
    </row>
    <row r="3113" spans="1:11" x14ac:dyDescent="0.2">
      <c r="A3113">
        <v>2.8368216689185199E-14</v>
      </c>
      <c r="B3113">
        <v>0.34736412421881402</v>
      </c>
      <c r="C3113">
        <v>1</v>
      </c>
      <c r="D3113">
        <v>0.96499999999999997</v>
      </c>
      <c r="E3113">
        <v>4.3922509899865401E-10</v>
      </c>
      <c r="F3113">
        <v>11</v>
      </c>
      <c r="G3113" t="s">
        <v>1201</v>
      </c>
      <c r="H3113" t="s">
        <v>1202</v>
      </c>
      <c r="I3113" t="s">
        <v>1201</v>
      </c>
      <c r="J3113" s="1" t="str">
        <f>HYPERLINK("https://zfin.org/ZDB-GENE-040801-167")</f>
        <v>https://zfin.org/ZDB-GENE-040801-167</v>
      </c>
      <c r="K3113" t="s">
        <v>1203</v>
      </c>
    </row>
    <row r="3114" spans="1:11" x14ac:dyDescent="0.2">
      <c r="A3114">
        <v>5.07643967206893E-14</v>
      </c>
      <c r="B3114">
        <v>0.30224622835947301</v>
      </c>
      <c r="C3114">
        <v>0.98399999999999999</v>
      </c>
      <c r="D3114">
        <v>0.96199999999999997</v>
      </c>
      <c r="E3114">
        <v>7.8598515442643205E-10</v>
      </c>
      <c r="F3114">
        <v>11</v>
      </c>
      <c r="G3114" t="s">
        <v>1712</v>
      </c>
      <c r="H3114" t="s">
        <v>1713</v>
      </c>
      <c r="I3114" t="s">
        <v>1712</v>
      </c>
      <c r="J3114" s="1" t="str">
        <f>HYPERLINK("https://zfin.org/ZDB-GENE-030131-8951")</f>
        <v>https://zfin.org/ZDB-GENE-030131-8951</v>
      </c>
      <c r="K3114" t="s">
        <v>1714</v>
      </c>
    </row>
    <row r="3115" spans="1:11" x14ac:dyDescent="0.2">
      <c r="A3115">
        <v>5.9888135473729905E-14</v>
      </c>
      <c r="B3115">
        <v>0.27189085270492802</v>
      </c>
      <c r="C3115">
        <v>0.98399999999999999</v>
      </c>
      <c r="D3115">
        <v>0.97699999999999998</v>
      </c>
      <c r="E3115">
        <v>9.2724800153975903E-10</v>
      </c>
      <c r="F3115">
        <v>11</v>
      </c>
      <c r="G3115" t="s">
        <v>1904</v>
      </c>
      <c r="H3115" t="s">
        <v>1905</v>
      </c>
      <c r="I3115" t="s">
        <v>1904</v>
      </c>
      <c r="J3115" s="1" t="str">
        <f>HYPERLINK("https://zfin.org/ZDB-GENE-060331-105")</f>
        <v>https://zfin.org/ZDB-GENE-060331-105</v>
      </c>
      <c r="K3115" t="s">
        <v>1906</v>
      </c>
    </row>
    <row r="3116" spans="1:11" x14ac:dyDescent="0.2">
      <c r="A3116">
        <v>7.5097858899043895E-14</v>
      </c>
      <c r="B3116">
        <v>0.33126688006155502</v>
      </c>
      <c r="C3116">
        <v>0.95899999999999996</v>
      </c>
      <c r="D3116">
        <v>0.91900000000000004</v>
      </c>
      <c r="E3116">
        <v>1.1627401493339001E-9</v>
      </c>
      <c r="F3116">
        <v>11</v>
      </c>
      <c r="G3116" t="s">
        <v>1697</v>
      </c>
      <c r="H3116" t="s">
        <v>1698</v>
      </c>
      <c r="I3116" t="s">
        <v>1697</v>
      </c>
      <c r="J3116" s="1" t="str">
        <f>HYPERLINK("https://zfin.org/ZDB-GENE-030131-8631")</f>
        <v>https://zfin.org/ZDB-GENE-030131-8631</v>
      </c>
      <c r="K3116" t="s">
        <v>1699</v>
      </c>
    </row>
    <row r="3117" spans="1:11" x14ac:dyDescent="0.2">
      <c r="A3117">
        <v>1.02124792314152E-13</v>
      </c>
      <c r="B3117">
        <v>0.52708772043551699</v>
      </c>
      <c r="C3117">
        <v>0.76200000000000001</v>
      </c>
      <c r="D3117">
        <v>0.64200000000000002</v>
      </c>
      <c r="E3117">
        <v>1.58119815940002E-9</v>
      </c>
      <c r="F3117">
        <v>11</v>
      </c>
      <c r="G3117" t="s">
        <v>2374</v>
      </c>
      <c r="H3117" t="s">
        <v>2375</v>
      </c>
      <c r="I3117" t="s">
        <v>2374</v>
      </c>
      <c r="J3117" s="1" t="str">
        <f>HYPERLINK("https://zfin.org/ZDB-GENE-040426-2770")</f>
        <v>https://zfin.org/ZDB-GENE-040426-2770</v>
      </c>
      <c r="K3117" t="s">
        <v>2376</v>
      </c>
    </row>
    <row r="3118" spans="1:11" x14ac:dyDescent="0.2">
      <c r="A3118">
        <v>2.75156579966724E-13</v>
      </c>
      <c r="B3118">
        <v>-0.95340090708451697</v>
      </c>
      <c r="C3118">
        <v>0.316</v>
      </c>
      <c r="D3118">
        <v>0.56499999999999995</v>
      </c>
      <c r="E3118">
        <v>4.2602493276247899E-9</v>
      </c>
      <c r="F3118">
        <v>11</v>
      </c>
      <c r="G3118" t="s">
        <v>2681</v>
      </c>
      <c r="H3118" t="s">
        <v>2682</v>
      </c>
      <c r="I3118" t="s">
        <v>2681</v>
      </c>
      <c r="J3118" s="1" t="str">
        <f>HYPERLINK("https://zfin.org/ZDB-GENE-030131-2159")</f>
        <v>https://zfin.org/ZDB-GENE-030131-2159</v>
      </c>
      <c r="K3118" t="s">
        <v>2683</v>
      </c>
    </row>
    <row r="3119" spans="1:11" x14ac:dyDescent="0.2">
      <c r="A3119">
        <v>5.4792378103749598E-13</v>
      </c>
      <c r="B3119">
        <v>0.29787618007306998</v>
      </c>
      <c r="C3119">
        <v>0.98399999999999999</v>
      </c>
      <c r="D3119">
        <v>0.94499999999999995</v>
      </c>
      <c r="E3119">
        <v>8.4835039018035605E-9</v>
      </c>
      <c r="F3119">
        <v>11</v>
      </c>
      <c r="G3119" t="s">
        <v>2036</v>
      </c>
      <c r="H3119" t="s">
        <v>2037</v>
      </c>
      <c r="I3119" t="s">
        <v>2036</v>
      </c>
      <c r="J3119" s="1" t="str">
        <f>HYPERLINK("https://zfin.org/ZDB-GENE-030131-9092")</f>
        <v>https://zfin.org/ZDB-GENE-030131-9092</v>
      </c>
      <c r="K3119" t="s">
        <v>2038</v>
      </c>
    </row>
    <row r="3120" spans="1:11" x14ac:dyDescent="0.2">
      <c r="A3120">
        <v>5.5562756576823597E-13</v>
      </c>
      <c r="B3120">
        <v>-1.0869811286424</v>
      </c>
      <c r="C3120">
        <v>8.7999999999999995E-2</v>
      </c>
      <c r="D3120">
        <v>0.34300000000000003</v>
      </c>
      <c r="E3120">
        <v>8.6027816007895994E-9</v>
      </c>
      <c r="F3120">
        <v>11</v>
      </c>
      <c r="G3120" t="s">
        <v>5889</v>
      </c>
      <c r="H3120" t="s">
        <v>5890</v>
      </c>
      <c r="I3120" t="s">
        <v>5889</v>
      </c>
      <c r="J3120" s="1" t="str">
        <f>HYPERLINK("https://zfin.org/ZDB-GENE-070720-11")</f>
        <v>https://zfin.org/ZDB-GENE-070720-11</v>
      </c>
      <c r="K3120" t="s">
        <v>5891</v>
      </c>
    </row>
    <row r="3121" spans="1:11" x14ac:dyDescent="0.2">
      <c r="A3121">
        <v>8.3756246701368805E-13</v>
      </c>
      <c r="B3121">
        <v>0.43206659772603201</v>
      </c>
      <c r="C3121">
        <v>0.90200000000000002</v>
      </c>
      <c r="D3121">
        <v>0.84</v>
      </c>
      <c r="E3121">
        <v>1.29679796767729E-8</v>
      </c>
      <c r="F3121">
        <v>11</v>
      </c>
      <c r="G3121" t="s">
        <v>1745</v>
      </c>
      <c r="H3121" t="s">
        <v>1746</v>
      </c>
      <c r="I3121" t="s">
        <v>1745</v>
      </c>
      <c r="J3121" s="1" t="str">
        <f>HYPERLINK("https://zfin.org/ZDB-GENE-061111-1")</f>
        <v>https://zfin.org/ZDB-GENE-061111-1</v>
      </c>
      <c r="K3121" t="s">
        <v>1747</v>
      </c>
    </row>
    <row r="3122" spans="1:11" x14ac:dyDescent="0.2">
      <c r="A3122">
        <v>1.08150975512127E-12</v>
      </c>
      <c r="B3122">
        <v>0.67076149180809896</v>
      </c>
      <c r="C3122">
        <v>0.223</v>
      </c>
      <c r="D3122">
        <v>7.1999999999999995E-2</v>
      </c>
      <c r="E3122">
        <v>1.6745015538542701E-8</v>
      </c>
      <c r="F3122">
        <v>11</v>
      </c>
      <c r="G3122" t="s">
        <v>6258</v>
      </c>
      <c r="H3122" t="s">
        <v>6259</v>
      </c>
      <c r="I3122" t="s">
        <v>6258</v>
      </c>
      <c r="J3122" s="1" t="str">
        <f>HYPERLINK("https://zfin.org/ZDB-GENE-990714-11")</f>
        <v>https://zfin.org/ZDB-GENE-990714-11</v>
      </c>
      <c r="K3122" t="s">
        <v>6260</v>
      </c>
    </row>
    <row r="3123" spans="1:11" x14ac:dyDescent="0.2">
      <c r="A3123">
        <v>1.0846015336181699E-12</v>
      </c>
      <c r="B3123">
        <v>0.27602039905123299</v>
      </c>
      <c r="C3123">
        <v>0.97399999999999998</v>
      </c>
      <c r="D3123">
        <v>0.93799999999999994</v>
      </c>
      <c r="E3123">
        <v>1.6792885545010098E-8</v>
      </c>
      <c r="F3123">
        <v>11</v>
      </c>
      <c r="G3123" t="s">
        <v>2075</v>
      </c>
      <c r="H3123" t="s">
        <v>2076</v>
      </c>
      <c r="I3123" t="s">
        <v>2075</v>
      </c>
      <c r="J3123" s="1" t="str">
        <f>HYPERLINK("https://zfin.org/ZDB-GENE-040801-183")</f>
        <v>https://zfin.org/ZDB-GENE-040801-183</v>
      </c>
      <c r="K3123" t="s">
        <v>2077</v>
      </c>
    </row>
    <row r="3124" spans="1:11" x14ac:dyDescent="0.2">
      <c r="A3124">
        <v>1.10669486146774E-12</v>
      </c>
      <c r="B3124">
        <v>-0.73956749291675705</v>
      </c>
      <c r="C3124">
        <v>3.1E-2</v>
      </c>
      <c r="D3124">
        <v>0.27</v>
      </c>
      <c r="E3124">
        <v>1.7134956540105E-8</v>
      </c>
      <c r="F3124">
        <v>11</v>
      </c>
      <c r="G3124" t="s">
        <v>5922</v>
      </c>
      <c r="H3124" t="s">
        <v>5923</v>
      </c>
      <c r="I3124" t="s">
        <v>5922</v>
      </c>
      <c r="J3124" s="1" t="str">
        <f>HYPERLINK("https://zfin.org/ZDB-GENE-070705-193")</f>
        <v>https://zfin.org/ZDB-GENE-070705-193</v>
      </c>
      <c r="K3124" t="s">
        <v>5924</v>
      </c>
    </row>
    <row r="3125" spans="1:11" x14ac:dyDescent="0.2">
      <c r="A3125">
        <v>1.14658537037109E-12</v>
      </c>
      <c r="B3125">
        <v>0.48600498832420902</v>
      </c>
      <c r="C3125">
        <v>0.79800000000000004</v>
      </c>
      <c r="D3125">
        <v>0.68899999999999995</v>
      </c>
      <c r="E3125">
        <v>1.7752581289455599E-8</v>
      </c>
      <c r="F3125">
        <v>11</v>
      </c>
      <c r="G3125" t="s">
        <v>2687</v>
      </c>
      <c r="H3125" t="s">
        <v>2688</v>
      </c>
      <c r="I3125" t="s">
        <v>2687</v>
      </c>
      <c r="J3125" s="1" t="str">
        <f>HYPERLINK("https://zfin.org/ZDB-GENE-040718-260")</f>
        <v>https://zfin.org/ZDB-GENE-040718-260</v>
      </c>
      <c r="K3125" t="s">
        <v>2689</v>
      </c>
    </row>
    <row r="3126" spans="1:11" x14ac:dyDescent="0.2">
      <c r="A3126">
        <v>1.9381625619229201E-12</v>
      </c>
      <c r="B3126">
        <v>0.27722084472134301</v>
      </c>
      <c r="C3126">
        <v>0.98399999999999999</v>
      </c>
      <c r="D3126">
        <v>0.95899999999999996</v>
      </c>
      <c r="E3126">
        <v>3.0008570946252497E-8</v>
      </c>
      <c r="F3126">
        <v>11</v>
      </c>
      <c r="G3126" t="s">
        <v>1840</v>
      </c>
      <c r="H3126" t="s">
        <v>1841</v>
      </c>
      <c r="I3126" t="s">
        <v>1840</v>
      </c>
      <c r="J3126" s="1" t="str">
        <f>HYPERLINK("https://zfin.org/ZDB-GENE-031001-9")</f>
        <v>https://zfin.org/ZDB-GENE-031001-9</v>
      </c>
      <c r="K3126" t="s">
        <v>1842</v>
      </c>
    </row>
    <row r="3127" spans="1:11" x14ac:dyDescent="0.2">
      <c r="A3127">
        <v>2.5093611739929399E-12</v>
      </c>
      <c r="B3127">
        <v>0.67910300275365099</v>
      </c>
      <c r="C3127">
        <v>0.49199999999999999</v>
      </c>
      <c r="D3127">
        <v>0.27700000000000002</v>
      </c>
      <c r="E3127">
        <v>3.8852439056932698E-8</v>
      </c>
      <c r="F3127">
        <v>11</v>
      </c>
      <c r="G3127" t="s">
        <v>6097</v>
      </c>
      <c r="H3127" t="s">
        <v>6098</v>
      </c>
      <c r="I3127" t="s">
        <v>6097</v>
      </c>
      <c r="J3127" s="1" t="str">
        <f>HYPERLINK("https://zfin.org/ZDB-GENE-030521-10")</f>
        <v>https://zfin.org/ZDB-GENE-030521-10</v>
      </c>
      <c r="K3127" t="s">
        <v>6099</v>
      </c>
    </row>
    <row r="3128" spans="1:11" x14ac:dyDescent="0.2">
      <c r="A3128">
        <v>2.6344976471278302E-12</v>
      </c>
      <c r="B3128">
        <v>0.28254339066346801</v>
      </c>
      <c r="C3128">
        <v>0.95899999999999996</v>
      </c>
      <c r="D3128">
        <v>0.92500000000000004</v>
      </c>
      <c r="E3128">
        <v>4.0789927070480199E-8</v>
      </c>
      <c r="F3128">
        <v>11</v>
      </c>
      <c r="G3128" t="s">
        <v>1733</v>
      </c>
      <c r="H3128" t="s">
        <v>1734</v>
      </c>
      <c r="I3128" t="s">
        <v>1733</v>
      </c>
      <c r="J3128" s="1" t="str">
        <f>HYPERLINK("https://zfin.org/ZDB-GENE-030131-9184")</f>
        <v>https://zfin.org/ZDB-GENE-030131-9184</v>
      </c>
      <c r="K3128" t="s">
        <v>1735</v>
      </c>
    </row>
    <row r="3129" spans="1:11" x14ac:dyDescent="0.2">
      <c r="A3129">
        <v>2.8582705077108601E-12</v>
      </c>
      <c r="B3129">
        <v>0.79328086725381897</v>
      </c>
      <c r="C3129">
        <v>0.64200000000000002</v>
      </c>
      <c r="D3129">
        <v>0.46</v>
      </c>
      <c r="E3129">
        <v>4.4254602270887199E-8</v>
      </c>
      <c r="F3129">
        <v>11</v>
      </c>
      <c r="G3129" t="s">
        <v>2954</v>
      </c>
      <c r="H3129" t="s">
        <v>2955</v>
      </c>
      <c r="I3129" t="s">
        <v>2954</v>
      </c>
      <c r="J3129" s="1" t="str">
        <f>HYPERLINK("https://zfin.org/ZDB-GENE-031112-4")</f>
        <v>https://zfin.org/ZDB-GENE-031112-4</v>
      </c>
      <c r="K3129" t="s">
        <v>2956</v>
      </c>
    </row>
    <row r="3130" spans="1:11" x14ac:dyDescent="0.2">
      <c r="A3130">
        <v>2.8746248861735401E-12</v>
      </c>
      <c r="B3130">
        <v>0.28266385787016501</v>
      </c>
      <c r="C3130">
        <v>0.99</v>
      </c>
      <c r="D3130">
        <v>0.96499999999999997</v>
      </c>
      <c r="E3130">
        <v>4.4507817112625003E-8</v>
      </c>
      <c r="F3130">
        <v>11</v>
      </c>
      <c r="G3130" t="s">
        <v>1065</v>
      </c>
      <c r="H3130" t="s">
        <v>1066</v>
      </c>
      <c r="I3130" t="s">
        <v>1065</v>
      </c>
      <c r="J3130" s="1" t="str">
        <f>HYPERLINK("https://zfin.org/ZDB-GENE-020419-25")</f>
        <v>https://zfin.org/ZDB-GENE-020419-25</v>
      </c>
      <c r="K3130" t="s">
        <v>1067</v>
      </c>
    </row>
    <row r="3131" spans="1:11" x14ac:dyDescent="0.2">
      <c r="A3131">
        <v>1.15782051473165E-11</v>
      </c>
      <c r="B3131">
        <v>0.28656560527546798</v>
      </c>
      <c r="C3131">
        <v>0.96399999999999997</v>
      </c>
      <c r="D3131">
        <v>0.95299999999999996</v>
      </c>
      <c r="E3131">
        <v>1.7926535029590099E-7</v>
      </c>
      <c r="F3131">
        <v>11</v>
      </c>
      <c r="G3131" t="s">
        <v>1402</v>
      </c>
      <c r="H3131" t="s">
        <v>1403</v>
      </c>
      <c r="I3131" t="s">
        <v>1402</v>
      </c>
      <c r="J3131" s="1" t="str">
        <f>HYPERLINK("https://zfin.org/ZDB-GENE-030131-8752")</f>
        <v>https://zfin.org/ZDB-GENE-030131-8752</v>
      </c>
      <c r="K3131" t="s">
        <v>1404</v>
      </c>
    </row>
    <row r="3132" spans="1:11" x14ac:dyDescent="0.2">
      <c r="A3132">
        <v>1.1731665580681999E-11</v>
      </c>
      <c r="B3132">
        <v>0.27048592509477798</v>
      </c>
      <c r="C3132">
        <v>0.97399999999999998</v>
      </c>
      <c r="D3132">
        <v>0.95</v>
      </c>
      <c r="E3132">
        <v>1.81641378185699E-7</v>
      </c>
      <c r="F3132">
        <v>11</v>
      </c>
      <c r="G3132" t="s">
        <v>1988</v>
      </c>
      <c r="H3132" t="s">
        <v>1989</v>
      </c>
      <c r="I3132" t="s">
        <v>1988</v>
      </c>
      <c r="J3132" s="1" t="str">
        <f>HYPERLINK("https://zfin.org/ZDB-GENE-040426-1718")</f>
        <v>https://zfin.org/ZDB-GENE-040426-1718</v>
      </c>
      <c r="K3132" t="s">
        <v>1990</v>
      </c>
    </row>
    <row r="3133" spans="1:11" x14ac:dyDescent="0.2">
      <c r="A3133">
        <v>1.6189215730789101E-11</v>
      </c>
      <c r="B3133">
        <v>0.270416939696625</v>
      </c>
      <c r="C3133">
        <v>0.98399999999999999</v>
      </c>
      <c r="D3133">
        <v>0.97</v>
      </c>
      <c r="E3133">
        <v>2.5065762715980798E-7</v>
      </c>
      <c r="F3133">
        <v>11</v>
      </c>
      <c r="G3133" t="s">
        <v>1715</v>
      </c>
      <c r="H3133" t="s">
        <v>1716</v>
      </c>
      <c r="I3133" t="s">
        <v>1715</v>
      </c>
      <c r="J3133" s="1" t="str">
        <f>HYPERLINK("https://zfin.org/ZDB-GENE-040426-811")</f>
        <v>https://zfin.org/ZDB-GENE-040426-811</v>
      </c>
      <c r="K3133" t="s">
        <v>1717</v>
      </c>
    </row>
    <row r="3134" spans="1:11" x14ac:dyDescent="0.2">
      <c r="A3134">
        <v>3.0213936816528299E-11</v>
      </c>
      <c r="B3134">
        <v>0.40209213191767001</v>
      </c>
      <c r="C3134">
        <v>0.88100000000000001</v>
      </c>
      <c r="D3134">
        <v>0.81100000000000005</v>
      </c>
      <c r="E3134">
        <v>4.67802383730307E-7</v>
      </c>
      <c r="F3134">
        <v>11</v>
      </c>
      <c r="G3134" t="s">
        <v>1820</v>
      </c>
      <c r="H3134" t="s">
        <v>1821</v>
      </c>
      <c r="I3134" t="s">
        <v>1820</v>
      </c>
      <c r="J3134" s="1" t="str">
        <f>HYPERLINK("https://zfin.org/ZDB-GENE-030410-1")</f>
        <v>https://zfin.org/ZDB-GENE-030410-1</v>
      </c>
      <c r="K3134" t="s">
        <v>1822</v>
      </c>
    </row>
    <row r="3135" spans="1:11" x14ac:dyDescent="0.2">
      <c r="A3135">
        <v>3.7034672438692798E-11</v>
      </c>
      <c r="B3135">
        <v>-0.90640652526576704</v>
      </c>
      <c r="C3135">
        <v>0.01</v>
      </c>
      <c r="D3135">
        <v>0.20799999999999999</v>
      </c>
      <c r="E3135">
        <v>5.7340783336828095E-7</v>
      </c>
      <c r="F3135">
        <v>11</v>
      </c>
      <c r="G3135" t="s">
        <v>5886</v>
      </c>
      <c r="H3135" t="s">
        <v>5887</v>
      </c>
      <c r="I3135" t="s">
        <v>5886</v>
      </c>
      <c r="J3135" s="1" t="str">
        <f>HYPERLINK("https://zfin.org/ZDB-GENE-980526-112")</f>
        <v>https://zfin.org/ZDB-GENE-980526-112</v>
      </c>
      <c r="K3135" t="s">
        <v>5888</v>
      </c>
    </row>
    <row r="3136" spans="1:11" x14ac:dyDescent="0.2">
      <c r="A3136">
        <v>4.42926186905632E-11</v>
      </c>
      <c r="B3136">
        <v>-1.3000688621285901</v>
      </c>
      <c r="C3136">
        <v>0.316</v>
      </c>
      <c r="D3136">
        <v>0.54</v>
      </c>
      <c r="E3136">
        <v>6.8578261518598895E-7</v>
      </c>
      <c r="F3136">
        <v>11</v>
      </c>
      <c r="G3136" t="s">
        <v>1240</v>
      </c>
      <c r="H3136" t="s">
        <v>1241</v>
      </c>
      <c r="I3136" t="s">
        <v>1240</v>
      </c>
      <c r="J3136" s="1" t="str">
        <f>HYPERLINK("https://zfin.org/ZDB-GENE-060929-568")</f>
        <v>https://zfin.org/ZDB-GENE-060929-568</v>
      </c>
      <c r="K3136" t="s">
        <v>1242</v>
      </c>
    </row>
    <row r="3137" spans="1:11" x14ac:dyDescent="0.2">
      <c r="A3137">
        <v>4.86120834203899E-11</v>
      </c>
      <c r="B3137">
        <v>-0.84567198179678504</v>
      </c>
      <c r="C3137">
        <v>0.155</v>
      </c>
      <c r="D3137">
        <v>0.39700000000000002</v>
      </c>
      <c r="E3137">
        <v>7.5266088759789695E-7</v>
      </c>
      <c r="F3137">
        <v>11</v>
      </c>
      <c r="G3137" t="s">
        <v>6017</v>
      </c>
      <c r="H3137" t="s">
        <v>6018</v>
      </c>
      <c r="I3137" t="s">
        <v>6017</v>
      </c>
      <c r="J3137" s="1" t="str">
        <f>HYPERLINK("https://zfin.org/ZDB-GENE-100922-65")</f>
        <v>https://zfin.org/ZDB-GENE-100922-65</v>
      </c>
      <c r="K3137" t="s">
        <v>6019</v>
      </c>
    </row>
    <row r="3138" spans="1:11" x14ac:dyDescent="0.2">
      <c r="A3138">
        <v>5.1500908903264702E-11</v>
      </c>
      <c r="B3138">
        <v>0.25606917717206701</v>
      </c>
      <c r="C3138">
        <v>0.98399999999999999</v>
      </c>
      <c r="D3138">
        <v>0.95299999999999996</v>
      </c>
      <c r="E3138">
        <v>7.9738857254924796E-7</v>
      </c>
      <c r="F3138">
        <v>11</v>
      </c>
      <c r="G3138" t="s">
        <v>1706</v>
      </c>
      <c r="H3138" t="s">
        <v>1707</v>
      </c>
      <c r="I3138" t="s">
        <v>1706</v>
      </c>
      <c r="J3138" s="1" t="str">
        <f>HYPERLINK("https://zfin.org/ZDB-GENE-040625-51")</f>
        <v>https://zfin.org/ZDB-GENE-040625-51</v>
      </c>
      <c r="K3138" t="s">
        <v>1708</v>
      </c>
    </row>
    <row r="3139" spans="1:11" x14ac:dyDescent="0.2">
      <c r="A3139">
        <v>7.9973120040693603E-11</v>
      </c>
      <c r="B3139">
        <v>-0.81924955282954404</v>
      </c>
      <c r="C3139">
        <v>9.8000000000000004E-2</v>
      </c>
      <c r="D3139">
        <v>0.32400000000000001</v>
      </c>
      <c r="E3139">
        <v>1.23822381759006E-6</v>
      </c>
      <c r="F3139">
        <v>11</v>
      </c>
      <c r="G3139" t="s">
        <v>5892</v>
      </c>
      <c r="H3139" t="s">
        <v>5893</v>
      </c>
      <c r="I3139" t="s">
        <v>5892</v>
      </c>
      <c r="J3139" s="1" t="str">
        <f>HYPERLINK("https://zfin.org/ZDB-GENE-070112-292")</f>
        <v>https://zfin.org/ZDB-GENE-070112-292</v>
      </c>
      <c r="K3139" t="s">
        <v>5894</v>
      </c>
    </row>
    <row r="3140" spans="1:11" x14ac:dyDescent="0.2">
      <c r="A3140">
        <v>9.3508411125267394E-11</v>
      </c>
      <c r="B3140">
        <v>-0.75333873116987604</v>
      </c>
      <c r="C3140">
        <v>0.435</v>
      </c>
      <c r="D3140">
        <v>0.65600000000000003</v>
      </c>
      <c r="E3140">
        <v>1.44779072945252E-6</v>
      </c>
      <c r="F3140">
        <v>11</v>
      </c>
      <c r="G3140" t="s">
        <v>923</v>
      </c>
      <c r="H3140" t="s">
        <v>924</v>
      </c>
      <c r="I3140" t="s">
        <v>923</v>
      </c>
      <c r="J3140" s="1" t="str">
        <f>HYPERLINK("https://zfin.org/ZDB-GENE-030131-1226")</f>
        <v>https://zfin.org/ZDB-GENE-030131-1226</v>
      </c>
      <c r="K3140" t="s">
        <v>925</v>
      </c>
    </row>
    <row r="3141" spans="1:11" x14ac:dyDescent="0.2">
      <c r="A3141">
        <v>1.15094943125889E-10</v>
      </c>
      <c r="B3141">
        <v>0.39195171607242901</v>
      </c>
      <c r="C3141">
        <v>0.87</v>
      </c>
      <c r="D3141">
        <v>0.78500000000000003</v>
      </c>
      <c r="E3141">
        <v>1.78201500441814E-6</v>
      </c>
      <c r="F3141">
        <v>11</v>
      </c>
      <c r="G3141" t="s">
        <v>5301</v>
      </c>
      <c r="H3141" t="s">
        <v>5302</v>
      </c>
      <c r="I3141" t="s">
        <v>5301</v>
      </c>
      <c r="J3141" s="1" t="str">
        <f>HYPERLINK("https://zfin.org/ZDB-GENE-030131-341")</f>
        <v>https://zfin.org/ZDB-GENE-030131-341</v>
      </c>
      <c r="K3141" t="s">
        <v>5303</v>
      </c>
    </row>
    <row r="3142" spans="1:11" x14ac:dyDescent="0.2">
      <c r="A3142">
        <v>1.33389816567523E-10</v>
      </c>
      <c r="B3142">
        <v>0.28110384390406101</v>
      </c>
      <c r="C3142">
        <v>0.96899999999999997</v>
      </c>
      <c r="D3142">
        <v>0.95299999999999996</v>
      </c>
      <c r="E3142">
        <v>2.0652745299149601E-6</v>
      </c>
      <c r="F3142">
        <v>11</v>
      </c>
      <c r="G3142" t="s">
        <v>1330</v>
      </c>
      <c r="H3142" t="s">
        <v>1331</v>
      </c>
      <c r="I3142" t="s">
        <v>1330</v>
      </c>
      <c r="J3142" s="1" t="str">
        <f>HYPERLINK("https://zfin.org/ZDB-GENE-040625-52")</f>
        <v>https://zfin.org/ZDB-GENE-040625-52</v>
      </c>
      <c r="K3142" t="s">
        <v>1332</v>
      </c>
    </row>
    <row r="3143" spans="1:11" x14ac:dyDescent="0.2">
      <c r="A3143">
        <v>2.8426168730473102E-10</v>
      </c>
      <c r="B3143">
        <v>0.27906817363410302</v>
      </c>
      <c r="C3143">
        <v>0.96899999999999997</v>
      </c>
      <c r="D3143">
        <v>0.93200000000000005</v>
      </c>
      <c r="E3143">
        <v>4.4012237045391601E-6</v>
      </c>
      <c r="F3143">
        <v>11</v>
      </c>
      <c r="G3143" t="s">
        <v>1679</v>
      </c>
      <c r="H3143" t="s">
        <v>1680</v>
      </c>
      <c r="I3143" t="s">
        <v>1679</v>
      </c>
      <c r="J3143" s="1" t="str">
        <f>HYPERLINK("https://zfin.org/ZDB-GENE-020423-1")</f>
        <v>https://zfin.org/ZDB-GENE-020423-1</v>
      </c>
      <c r="K3143" t="s">
        <v>1681</v>
      </c>
    </row>
    <row r="3144" spans="1:11" x14ac:dyDescent="0.2">
      <c r="A3144">
        <v>3.0158868973335398E-10</v>
      </c>
      <c r="B3144">
        <v>0.30843337294030798</v>
      </c>
      <c r="C3144">
        <v>0.93300000000000005</v>
      </c>
      <c r="D3144">
        <v>0.89200000000000002</v>
      </c>
      <c r="E3144">
        <v>4.6694976831415198E-6</v>
      </c>
      <c r="F3144">
        <v>11</v>
      </c>
      <c r="G3144" t="s">
        <v>2192</v>
      </c>
      <c r="H3144" t="s">
        <v>2193</v>
      </c>
      <c r="I3144" t="s">
        <v>2192</v>
      </c>
      <c r="J3144" s="1" t="str">
        <f>HYPERLINK("https://zfin.org/ZDB-GENE-030131-8585")</f>
        <v>https://zfin.org/ZDB-GENE-030131-8585</v>
      </c>
      <c r="K3144" t="s">
        <v>2194</v>
      </c>
    </row>
    <row r="3145" spans="1:11" x14ac:dyDescent="0.2">
      <c r="A3145">
        <v>3.6907379109702402E-10</v>
      </c>
      <c r="B3145">
        <v>0.33904441025012999</v>
      </c>
      <c r="C3145">
        <v>0.86499999999999999</v>
      </c>
      <c r="D3145">
        <v>0.81499999999999995</v>
      </c>
      <c r="E3145">
        <v>5.7143695075552203E-6</v>
      </c>
      <c r="F3145">
        <v>11</v>
      </c>
      <c r="G3145" t="s">
        <v>2281</v>
      </c>
      <c r="H3145" t="s">
        <v>2282</v>
      </c>
      <c r="I3145" t="s">
        <v>2281</v>
      </c>
      <c r="J3145" s="1" t="str">
        <f>HYPERLINK("https://zfin.org/ZDB-GENE-030131-8556")</f>
        <v>https://zfin.org/ZDB-GENE-030131-8556</v>
      </c>
      <c r="K3145" t="s">
        <v>2283</v>
      </c>
    </row>
    <row r="3146" spans="1:11" x14ac:dyDescent="0.2">
      <c r="A3146">
        <v>5.1183496773301805E-10</v>
      </c>
      <c r="B3146">
        <v>0.51920285987127601</v>
      </c>
      <c r="C3146">
        <v>0.58499999999999996</v>
      </c>
      <c r="D3146">
        <v>0.434</v>
      </c>
      <c r="E3146">
        <v>7.9247408054103106E-6</v>
      </c>
      <c r="F3146">
        <v>11</v>
      </c>
      <c r="G3146" t="s">
        <v>6261</v>
      </c>
      <c r="H3146" t="s">
        <v>6262</v>
      </c>
      <c r="I3146" t="s">
        <v>6261</v>
      </c>
      <c r="J3146" s="1" t="str">
        <f>HYPERLINK("https://zfin.org/ZDB-GENE-041210-191")</f>
        <v>https://zfin.org/ZDB-GENE-041210-191</v>
      </c>
      <c r="K3146" t="s">
        <v>6263</v>
      </c>
    </row>
    <row r="3147" spans="1:11" x14ac:dyDescent="0.2">
      <c r="A3147">
        <v>5.1409977671434003E-10</v>
      </c>
      <c r="B3147">
        <v>0.31205588141221302</v>
      </c>
      <c r="C3147">
        <v>0.90200000000000002</v>
      </c>
      <c r="D3147">
        <v>0.81599999999999995</v>
      </c>
      <c r="E3147">
        <v>7.9598068428681195E-6</v>
      </c>
      <c r="F3147">
        <v>11</v>
      </c>
      <c r="G3147" t="s">
        <v>2763</v>
      </c>
      <c r="H3147" t="s">
        <v>2764</v>
      </c>
      <c r="I3147" t="s">
        <v>2763</v>
      </c>
      <c r="J3147" s="1" t="str">
        <f>HYPERLINK("https://zfin.org/ZDB-GENE-040426-1706")</f>
        <v>https://zfin.org/ZDB-GENE-040426-1706</v>
      </c>
      <c r="K3147" t="s">
        <v>2765</v>
      </c>
    </row>
    <row r="3148" spans="1:11" x14ac:dyDescent="0.2">
      <c r="A3148">
        <v>5.79764813164896E-10</v>
      </c>
      <c r="B3148">
        <v>-0.75216845396270404</v>
      </c>
      <c r="C3148">
        <v>4.1000000000000002E-2</v>
      </c>
      <c r="D3148">
        <v>0.23400000000000001</v>
      </c>
      <c r="E3148">
        <v>8.9764986022320796E-6</v>
      </c>
      <c r="F3148">
        <v>11</v>
      </c>
      <c r="G3148" t="s">
        <v>5940</v>
      </c>
      <c r="H3148" t="s">
        <v>5941</v>
      </c>
      <c r="I3148" t="s">
        <v>5940</v>
      </c>
      <c r="J3148" s="1" t="str">
        <f>HYPERLINK("https://zfin.org/ZDB-GENE-131121-141")</f>
        <v>https://zfin.org/ZDB-GENE-131121-141</v>
      </c>
      <c r="K3148" t="s">
        <v>5942</v>
      </c>
    </row>
    <row r="3149" spans="1:11" x14ac:dyDescent="0.2">
      <c r="A3149">
        <v>1.09272455087405E-9</v>
      </c>
      <c r="B3149">
        <v>0.25386727837102802</v>
      </c>
      <c r="C3149">
        <v>0.95899999999999996</v>
      </c>
      <c r="D3149">
        <v>0.93100000000000005</v>
      </c>
      <c r="E3149">
        <v>1.69186542211829E-5</v>
      </c>
      <c r="F3149">
        <v>11</v>
      </c>
      <c r="G3149" t="s">
        <v>1558</v>
      </c>
      <c r="H3149" t="s">
        <v>1559</v>
      </c>
      <c r="I3149" t="s">
        <v>1558</v>
      </c>
      <c r="J3149" s="1" t="str">
        <f>HYPERLINK("https://zfin.org/ZDB-GENE-040426-1102")</f>
        <v>https://zfin.org/ZDB-GENE-040426-1102</v>
      </c>
      <c r="K3149" t="s">
        <v>1560</v>
      </c>
    </row>
    <row r="3150" spans="1:11" x14ac:dyDescent="0.2">
      <c r="A3150">
        <v>1.70689282920168E-9</v>
      </c>
      <c r="B3150">
        <v>0.33782145295502702</v>
      </c>
      <c r="C3150">
        <v>0.82899999999999996</v>
      </c>
      <c r="D3150">
        <v>0.69699999999999995</v>
      </c>
      <c r="E3150">
        <v>2.6427821674529601E-5</v>
      </c>
      <c r="F3150">
        <v>11</v>
      </c>
      <c r="G3150" t="s">
        <v>2904</v>
      </c>
      <c r="H3150" t="s">
        <v>2905</v>
      </c>
      <c r="I3150" t="s">
        <v>2904</v>
      </c>
      <c r="J3150" s="1" t="str">
        <f>HYPERLINK("https://zfin.org/ZDB-GENE-040426-1852")</f>
        <v>https://zfin.org/ZDB-GENE-040426-1852</v>
      </c>
      <c r="K3150" t="s">
        <v>2906</v>
      </c>
    </row>
    <row r="3151" spans="1:11" x14ac:dyDescent="0.2">
      <c r="A3151">
        <v>2.9047031635449798E-9</v>
      </c>
      <c r="B3151">
        <v>-1.14113396075165</v>
      </c>
      <c r="C3151">
        <v>3.1E-2</v>
      </c>
      <c r="D3151">
        <v>0.20799999999999999</v>
      </c>
      <c r="E3151">
        <v>4.4973519081166903E-5</v>
      </c>
      <c r="F3151">
        <v>11</v>
      </c>
      <c r="G3151" t="s">
        <v>322</v>
      </c>
      <c r="H3151" t="s">
        <v>323</v>
      </c>
      <c r="I3151" t="s">
        <v>322</v>
      </c>
      <c r="J3151" s="1" t="str">
        <f>HYPERLINK("https://zfin.org/ZDB-GENE-090507-4")</f>
        <v>https://zfin.org/ZDB-GENE-090507-4</v>
      </c>
      <c r="K3151" t="s">
        <v>324</v>
      </c>
    </row>
    <row r="3152" spans="1:11" x14ac:dyDescent="0.2">
      <c r="A3152">
        <v>2.9199578407868099E-9</v>
      </c>
      <c r="B3152">
        <v>0.44089525389885198</v>
      </c>
      <c r="C3152">
        <v>0.78200000000000003</v>
      </c>
      <c r="D3152">
        <v>0.69399999999999995</v>
      </c>
      <c r="E3152">
        <v>4.5209707248902198E-5</v>
      </c>
      <c r="F3152">
        <v>11</v>
      </c>
      <c r="G3152" t="s">
        <v>3159</v>
      </c>
      <c r="H3152" t="s">
        <v>3160</v>
      </c>
      <c r="I3152" t="s">
        <v>3110</v>
      </c>
      <c r="J3152" s="1" t="str">
        <f>HYPERLINK("https://zfin.org/ZDB-GENE-000511-4")</f>
        <v>https://zfin.org/ZDB-GENE-000511-4</v>
      </c>
      <c r="K3152" t="s">
        <v>3112</v>
      </c>
    </row>
    <row r="3153" spans="1:11" x14ac:dyDescent="0.2">
      <c r="A3153">
        <v>3.44541346566991E-9</v>
      </c>
      <c r="B3153">
        <v>0.26843222976064501</v>
      </c>
      <c r="C3153">
        <v>0.94299999999999995</v>
      </c>
      <c r="D3153">
        <v>0.88800000000000001</v>
      </c>
      <c r="E3153">
        <v>5.3345336688967198E-5</v>
      </c>
      <c r="F3153">
        <v>11</v>
      </c>
      <c r="G3153" t="s">
        <v>2425</v>
      </c>
      <c r="H3153" t="s">
        <v>2426</v>
      </c>
      <c r="I3153" t="s">
        <v>2425</v>
      </c>
      <c r="J3153" s="1" t="str">
        <f>HYPERLINK("https://zfin.org/ZDB-GENE-990712-18")</f>
        <v>https://zfin.org/ZDB-GENE-990712-18</v>
      </c>
      <c r="K3153" t="s">
        <v>2427</v>
      </c>
    </row>
    <row r="3154" spans="1:11" x14ac:dyDescent="0.2">
      <c r="A3154">
        <v>3.9511836308999198E-9</v>
      </c>
      <c r="B3154">
        <v>-1.33726111106791</v>
      </c>
      <c r="C3154">
        <v>0.91200000000000003</v>
      </c>
      <c r="D3154">
        <v>0.94399999999999995</v>
      </c>
      <c r="E3154">
        <v>6.1176176157223396E-5</v>
      </c>
      <c r="F3154">
        <v>11</v>
      </c>
      <c r="G3154" t="s">
        <v>2981</v>
      </c>
      <c r="H3154" t="s">
        <v>2982</v>
      </c>
      <c r="I3154" t="s">
        <v>2981</v>
      </c>
      <c r="J3154" s="1" t="str">
        <f>HYPERLINK("https://zfin.org/ZDB-GENE-121214-193")</f>
        <v>https://zfin.org/ZDB-GENE-121214-193</v>
      </c>
      <c r="K3154" t="s">
        <v>2983</v>
      </c>
    </row>
    <row r="3155" spans="1:11" x14ac:dyDescent="0.2">
      <c r="A3155">
        <v>4.46975087750846E-9</v>
      </c>
      <c r="B3155">
        <v>0.31165106228189499</v>
      </c>
      <c r="C3155">
        <v>0.92700000000000005</v>
      </c>
      <c r="D3155">
        <v>0.86399999999999999</v>
      </c>
      <c r="E3155">
        <v>6.9205152836463495E-5</v>
      </c>
      <c r="F3155">
        <v>11</v>
      </c>
      <c r="G3155" t="s">
        <v>2567</v>
      </c>
      <c r="H3155" t="s">
        <v>2568</v>
      </c>
      <c r="I3155" t="s">
        <v>2567</v>
      </c>
      <c r="J3155" s="1" t="str">
        <f>HYPERLINK("https://zfin.org/ZDB-GENE-030131-7275")</f>
        <v>https://zfin.org/ZDB-GENE-030131-7275</v>
      </c>
      <c r="K3155" t="s">
        <v>2569</v>
      </c>
    </row>
    <row r="3156" spans="1:11" x14ac:dyDescent="0.2">
      <c r="A3156">
        <v>4.6270399815646598E-9</v>
      </c>
      <c r="B3156">
        <v>0.290163608602725</v>
      </c>
      <c r="C3156">
        <v>0.92700000000000005</v>
      </c>
      <c r="D3156">
        <v>0.89800000000000002</v>
      </c>
      <c r="E3156">
        <v>7.1640460034565697E-5</v>
      </c>
      <c r="F3156">
        <v>11</v>
      </c>
      <c r="G3156" t="s">
        <v>2168</v>
      </c>
      <c r="H3156" t="s">
        <v>2169</v>
      </c>
      <c r="I3156" t="s">
        <v>2168</v>
      </c>
      <c r="J3156" s="1" t="str">
        <f>HYPERLINK("https://zfin.org/ZDB-GENE-040426-1700")</f>
        <v>https://zfin.org/ZDB-GENE-040426-1700</v>
      </c>
      <c r="K3156" t="s">
        <v>2170</v>
      </c>
    </row>
    <row r="3157" spans="1:11" x14ac:dyDescent="0.2">
      <c r="A3157">
        <v>5.1570435570003502E-9</v>
      </c>
      <c r="B3157">
        <v>-0.95850996109134001</v>
      </c>
      <c r="C3157">
        <v>2.5999999999999999E-2</v>
      </c>
      <c r="D3157">
        <v>0.19700000000000001</v>
      </c>
      <c r="E3157">
        <v>7.9846505393036402E-5</v>
      </c>
      <c r="F3157">
        <v>11</v>
      </c>
      <c r="G3157" t="s">
        <v>5647</v>
      </c>
      <c r="H3157" t="s">
        <v>5648</v>
      </c>
      <c r="I3157" t="s">
        <v>5647</v>
      </c>
      <c r="J3157" s="1" t="str">
        <f>HYPERLINK("https://zfin.org/ZDB-GENE-070502-5")</f>
        <v>https://zfin.org/ZDB-GENE-070502-5</v>
      </c>
      <c r="K3157" t="s">
        <v>5649</v>
      </c>
    </row>
    <row r="3158" spans="1:11" x14ac:dyDescent="0.2">
      <c r="A3158">
        <v>5.6022397168071998E-9</v>
      </c>
      <c r="B3158">
        <v>-0.87077718632562995</v>
      </c>
      <c r="C3158">
        <v>0.124</v>
      </c>
      <c r="D3158">
        <v>0.33300000000000002</v>
      </c>
      <c r="E3158">
        <v>8.6739477535325896E-5</v>
      </c>
      <c r="F3158">
        <v>11</v>
      </c>
      <c r="G3158" t="s">
        <v>5760</v>
      </c>
      <c r="H3158" t="s">
        <v>5761</v>
      </c>
      <c r="I3158" t="s">
        <v>5760</v>
      </c>
      <c r="J3158" s="1" t="str">
        <f>HYPERLINK("https://zfin.org/ZDB-GENE-051030-98")</f>
        <v>https://zfin.org/ZDB-GENE-051030-98</v>
      </c>
      <c r="K3158" t="s">
        <v>5762</v>
      </c>
    </row>
    <row r="3159" spans="1:11" x14ac:dyDescent="0.2">
      <c r="A3159">
        <v>5.99145571326604E-9</v>
      </c>
      <c r="B3159">
        <v>0.30558298325538102</v>
      </c>
      <c r="C3159">
        <v>0.88600000000000001</v>
      </c>
      <c r="D3159">
        <v>0.82699999999999996</v>
      </c>
      <c r="E3159">
        <v>9.2765708808498193E-5</v>
      </c>
      <c r="F3159">
        <v>11</v>
      </c>
      <c r="G3159" t="s">
        <v>2000</v>
      </c>
      <c r="H3159" t="s">
        <v>2001</v>
      </c>
      <c r="I3159" t="s">
        <v>2000</v>
      </c>
      <c r="J3159" s="1" t="str">
        <f>HYPERLINK("https://zfin.org/ZDB-GENE-040426-1955")</f>
        <v>https://zfin.org/ZDB-GENE-040426-1955</v>
      </c>
      <c r="K3159" t="s">
        <v>2002</v>
      </c>
    </row>
    <row r="3160" spans="1:11" x14ac:dyDescent="0.2">
      <c r="A3160">
        <v>4.42270523406463E-15</v>
      </c>
      <c r="B3160">
        <v>0.77771591811948704</v>
      </c>
      <c r="C3160">
        <v>0.89600000000000002</v>
      </c>
      <c r="D3160">
        <v>0.623</v>
      </c>
      <c r="E3160">
        <v>6.8476745139022598E-11</v>
      </c>
      <c r="F3160">
        <v>12</v>
      </c>
      <c r="G3160" t="s">
        <v>2389</v>
      </c>
      <c r="H3160" t="s">
        <v>2390</v>
      </c>
      <c r="I3160" t="s">
        <v>2389</v>
      </c>
      <c r="J3160" s="1" t="str">
        <f>HYPERLINK("https://zfin.org/ZDB-GENE-050308-1")</f>
        <v>https://zfin.org/ZDB-GENE-050308-1</v>
      </c>
      <c r="K3160" t="s">
        <v>2391</v>
      </c>
    </row>
    <row r="3161" spans="1:11" x14ac:dyDescent="0.2">
      <c r="A3161">
        <v>7.4408517626233098E-13</v>
      </c>
      <c r="B3161">
        <v>0.40010810913510197</v>
      </c>
      <c r="C3161">
        <v>0.98499999999999999</v>
      </c>
      <c r="D3161">
        <v>0.81299999999999994</v>
      </c>
      <c r="E3161">
        <v>1.15206707840697E-8</v>
      </c>
      <c r="F3161">
        <v>12</v>
      </c>
      <c r="G3161" t="s">
        <v>2727</v>
      </c>
      <c r="H3161" t="s">
        <v>2728</v>
      </c>
      <c r="I3161" t="s">
        <v>2727</v>
      </c>
      <c r="J3161" s="1" t="str">
        <f>HYPERLINK("https://zfin.org/")</f>
        <v>https://zfin.org/</v>
      </c>
      <c r="K3161" t="s">
        <v>2729</v>
      </c>
    </row>
    <row r="3162" spans="1:11" x14ac:dyDescent="0.2">
      <c r="A3162">
        <v>9.0777900080491805E-13</v>
      </c>
      <c r="B3162">
        <v>0.75876234487129701</v>
      </c>
      <c r="C3162">
        <v>0.79100000000000004</v>
      </c>
      <c r="D3162">
        <v>0.43099999999999999</v>
      </c>
      <c r="E3162">
        <v>1.40551422694625E-8</v>
      </c>
      <c r="F3162">
        <v>12</v>
      </c>
      <c r="G3162" t="s">
        <v>3299</v>
      </c>
      <c r="H3162" t="s">
        <v>3300</v>
      </c>
      <c r="I3162" t="s">
        <v>3299</v>
      </c>
      <c r="J3162" s="1" t="str">
        <f>HYPERLINK("https://zfin.org/ZDB-GENE-011212-6")</f>
        <v>https://zfin.org/ZDB-GENE-011212-6</v>
      </c>
      <c r="K3162" t="s">
        <v>3301</v>
      </c>
    </row>
    <row r="3163" spans="1:11" x14ac:dyDescent="0.2">
      <c r="A3163">
        <v>1.983413840183E-11</v>
      </c>
      <c r="B3163">
        <v>0.622567700923227</v>
      </c>
      <c r="C3163">
        <v>0.97</v>
      </c>
      <c r="D3163">
        <v>0.876</v>
      </c>
      <c r="E3163">
        <v>3.0709196487553498E-7</v>
      </c>
      <c r="F3163">
        <v>12</v>
      </c>
      <c r="G3163" t="s">
        <v>1231</v>
      </c>
      <c r="H3163" t="s">
        <v>1232</v>
      </c>
      <c r="I3163" t="s">
        <v>1231</v>
      </c>
      <c r="J3163" s="1" t="str">
        <f>HYPERLINK("https://zfin.org/ZDB-GENE-110411-160")</f>
        <v>https://zfin.org/ZDB-GENE-110411-160</v>
      </c>
      <c r="K3163" t="s">
        <v>1233</v>
      </c>
    </row>
    <row r="3164" spans="1:11" x14ac:dyDescent="0.2">
      <c r="A3164">
        <v>1.03855891467053E-10</v>
      </c>
      <c r="B3164">
        <v>0.66631304864295904</v>
      </c>
      <c r="C3164">
        <v>0.35799999999999998</v>
      </c>
      <c r="D3164">
        <v>0.106</v>
      </c>
      <c r="E3164">
        <v>1.6080007675843799E-6</v>
      </c>
      <c r="F3164">
        <v>12</v>
      </c>
      <c r="G3164" t="s">
        <v>6264</v>
      </c>
      <c r="H3164" t="s">
        <v>6265</v>
      </c>
      <c r="I3164" t="s">
        <v>6264</v>
      </c>
      <c r="J3164" s="1" t="str">
        <f>HYPERLINK("https://zfin.org/ZDB-GENE-980526-109")</f>
        <v>https://zfin.org/ZDB-GENE-980526-109</v>
      </c>
      <c r="K3164" t="s">
        <v>6266</v>
      </c>
    </row>
    <row r="3165" spans="1:11" x14ac:dyDescent="0.2">
      <c r="A3165">
        <v>1.18245212322765E-10</v>
      </c>
      <c r="B3165">
        <v>0.68432057482139896</v>
      </c>
      <c r="C3165">
        <v>0.70099999999999996</v>
      </c>
      <c r="D3165">
        <v>0.39100000000000001</v>
      </c>
      <c r="E3165">
        <v>1.8307906223933801E-6</v>
      </c>
      <c r="F3165">
        <v>12</v>
      </c>
      <c r="G3165" t="s">
        <v>3347</v>
      </c>
      <c r="H3165" t="s">
        <v>3348</v>
      </c>
      <c r="I3165" t="s">
        <v>3347</v>
      </c>
      <c r="J3165" s="1" t="str">
        <f>HYPERLINK("https://zfin.org/ZDB-GENE-030911-2")</f>
        <v>https://zfin.org/ZDB-GENE-030911-2</v>
      </c>
      <c r="K3165" t="s">
        <v>3349</v>
      </c>
    </row>
    <row r="3166" spans="1:11" x14ac:dyDescent="0.2">
      <c r="A3166">
        <v>2.8450992720932601E-10</v>
      </c>
      <c r="B3166">
        <v>0.43078393796908099</v>
      </c>
      <c r="C3166">
        <v>0.86599999999999999</v>
      </c>
      <c r="D3166">
        <v>0.53600000000000003</v>
      </c>
      <c r="E3166">
        <v>4.4050672029819897E-6</v>
      </c>
      <c r="F3166">
        <v>12</v>
      </c>
      <c r="G3166" t="s">
        <v>2930</v>
      </c>
      <c r="H3166" t="s">
        <v>2931</v>
      </c>
      <c r="I3166" t="s">
        <v>2930</v>
      </c>
      <c r="J3166" s="1" t="str">
        <f>HYPERLINK("https://zfin.org/ZDB-GENE-031016-2")</f>
        <v>https://zfin.org/ZDB-GENE-031016-2</v>
      </c>
      <c r="K3166" t="s">
        <v>2932</v>
      </c>
    </row>
    <row r="3167" spans="1:11" x14ac:dyDescent="0.2">
      <c r="A3167">
        <v>9.6022584828261508E-10</v>
      </c>
      <c r="B3167">
        <v>-2.41940929536293</v>
      </c>
      <c r="C3167">
        <v>0.92500000000000004</v>
      </c>
      <c r="D3167">
        <v>0.94</v>
      </c>
      <c r="E3167">
        <v>1.48671768089597E-5</v>
      </c>
      <c r="F3167">
        <v>12</v>
      </c>
      <c r="G3167" t="s">
        <v>2981</v>
      </c>
      <c r="H3167" t="s">
        <v>2982</v>
      </c>
      <c r="I3167" t="s">
        <v>2981</v>
      </c>
      <c r="J3167" s="1" t="str">
        <f>HYPERLINK("https://zfin.org/ZDB-GENE-121214-193")</f>
        <v>https://zfin.org/ZDB-GENE-121214-193</v>
      </c>
      <c r="K3167" t="s">
        <v>2983</v>
      </c>
    </row>
    <row r="3168" spans="1:11" x14ac:dyDescent="0.2">
      <c r="A3168">
        <v>7.21844844842327E-116</v>
      </c>
      <c r="B3168">
        <v>2.0899221716062502</v>
      </c>
      <c r="C3168">
        <v>0.94399999999999995</v>
      </c>
      <c r="D3168">
        <v>0.21199999999999999</v>
      </c>
      <c r="E3168">
        <v>1.1176323732693799E-111</v>
      </c>
      <c r="F3168">
        <v>13</v>
      </c>
      <c r="G3168" t="s">
        <v>6153</v>
      </c>
      <c r="H3168" t="s">
        <v>6154</v>
      </c>
      <c r="I3168" t="s">
        <v>6153</v>
      </c>
      <c r="J3168" s="1" t="str">
        <f>HYPERLINK("https://zfin.org/ZDB-GENE-110411-258")</f>
        <v>https://zfin.org/ZDB-GENE-110411-258</v>
      </c>
      <c r="K3168" t="s">
        <v>6155</v>
      </c>
    </row>
    <row r="3169" spans="1:11" x14ac:dyDescent="0.2">
      <c r="A3169">
        <v>1.96782763226459E-72</v>
      </c>
      <c r="B3169">
        <v>1.6450253058294</v>
      </c>
      <c r="C3169">
        <v>0.99399999999999999</v>
      </c>
      <c r="D3169">
        <v>0.751</v>
      </c>
      <c r="E3169">
        <v>3.04678752303526E-68</v>
      </c>
      <c r="F3169">
        <v>13</v>
      </c>
      <c r="G3169" t="s">
        <v>2606</v>
      </c>
      <c r="H3169" t="s">
        <v>2607</v>
      </c>
      <c r="I3169" t="s">
        <v>2606</v>
      </c>
      <c r="J3169" s="1" t="str">
        <f>HYPERLINK("https://zfin.org/ZDB-GENE-121214-200")</f>
        <v>https://zfin.org/ZDB-GENE-121214-200</v>
      </c>
      <c r="K3169" t="s">
        <v>2608</v>
      </c>
    </row>
    <row r="3170" spans="1:11" x14ac:dyDescent="0.2">
      <c r="A3170">
        <v>5.1058845404721398E-71</v>
      </c>
      <c r="B3170">
        <v>1.4818697126836</v>
      </c>
      <c r="C3170">
        <v>0.80100000000000005</v>
      </c>
      <c r="D3170">
        <v>0.22600000000000001</v>
      </c>
      <c r="E3170">
        <v>7.90544103401302E-67</v>
      </c>
      <c r="F3170">
        <v>13</v>
      </c>
      <c r="G3170" t="s">
        <v>6267</v>
      </c>
      <c r="H3170" t="s">
        <v>6268</v>
      </c>
      <c r="I3170" t="s">
        <v>6267</v>
      </c>
      <c r="J3170" s="1" t="str">
        <f>HYPERLINK("https://zfin.org/ZDB-GENE-061103-355")</f>
        <v>https://zfin.org/ZDB-GENE-061103-355</v>
      </c>
      <c r="K3170" t="s">
        <v>6269</v>
      </c>
    </row>
    <row r="3171" spans="1:11" x14ac:dyDescent="0.2">
      <c r="A3171">
        <v>1.2504561162179299E-49</v>
      </c>
      <c r="B3171">
        <v>1.0872352553168301</v>
      </c>
      <c r="C3171">
        <v>0.97499999999999998</v>
      </c>
      <c r="D3171">
        <v>0.69299999999999995</v>
      </c>
      <c r="E3171">
        <v>1.9360812047402201E-45</v>
      </c>
      <c r="F3171">
        <v>13</v>
      </c>
      <c r="G3171" t="s">
        <v>2057</v>
      </c>
      <c r="H3171" t="s">
        <v>2058</v>
      </c>
      <c r="I3171" t="s">
        <v>2057</v>
      </c>
      <c r="J3171" s="1" t="str">
        <f>HYPERLINK("https://zfin.org/ZDB-GENE-041121-18")</f>
        <v>https://zfin.org/ZDB-GENE-041121-18</v>
      </c>
      <c r="K3171" t="s">
        <v>2059</v>
      </c>
    </row>
    <row r="3172" spans="1:11" x14ac:dyDescent="0.2">
      <c r="A3172">
        <v>1.5444626636713999E-45</v>
      </c>
      <c r="B3172">
        <v>1.0435336620531599</v>
      </c>
      <c r="C3172">
        <v>0.59</v>
      </c>
      <c r="D3172">
        <v>0.151</v>
      </c>
      <c r="E3172">
        <v>2.3912915421624298E-41</v>
      </c>
      <c r="F3172">
        <v>13</v>
      </c>
      <c r="G3172" t="s">
        <v>6270</v>
      </c>
      <c r="H3172" t="s">
        <v>6271</v>
      </c>
      <c r="I3172" t="s">
        <v>6270</v>
      </c>
      <c r="J3172" s="1" t="str">
        <f>HYPERLINK("https://zfin.org/ZDB-GENE-080506-2")</f>
        <v>https://zfin.org/ZDB-GENE-080506-2</v>
      </c>
      <c r="K3172" t="s">
        <v>6272</v>
      </c>
    </row>
    <row r="3173" spans="1:11" x14ac:dyDescent="0.2">
      <c r="A3173">
        <v>5.5779575987496103E-40</v>
      </c>
      <c r="B3173">
        <v>1.02132200972714</v>
      </c>
      <c r="C3173">
        <v>0.86299999999999999</v>
      </c>
      <c r="D3173">
        <v>0.49299999999999999</v>
      </c>
      <c r="E3173">
        <v>8.6363517501440197E-36</v>
      </c>
      <c r="F3173">
        <v>13</v>
      </c>
      <c r="G3173" t="s">
        <v>2793</v>
      </c>
      <c r="H3173" t="s">
        <v>2794</v>
      </c>
      <c r="I3173" t="s">
        <v>2793</v>
      </c>
      <c r="J3173" s="1" t="str">
        <f>HYPERLINK("https://zfin.org/ZDB-GENE-050320-109")</f>
        <v>https://zfin.org/ZDB-GENE-050320-109</v>
      </c>
      <c r="K3173" t="s">
        <v>2795</v>
      </c>
    </row>
    <row r="3174" spans="1:11" x14ac:dyDescent="0.2">
      <c r="A3174">
        <v>7.0361687532350403E-39</v>
      </c>
      <c r="B3174">
        <v>1.0164597901831001</v>
      </c>
      <c r="C3174">
        <v>0.93200000000000005</v>
      </c>
      <c r="D3174">
        <v>0.67100000000000004</v>
      </c>
      <c r="E3174">
        <v>1.0894100080633799E-34</v>
      </c>
      <c r="F3174">
        <v>13</v>
      </c>
      <c r="G3174" t="s">
        <v>2431</v>
      </c>
      <c r="H3174" t="s">
        <v>2432</v>
      </c>
      <c r="I3174" t="s">
        <v>2431</v>
      </c>
      <c r="J3174" s="1" t="str">
        <f>HYPERLINK("https://zfin.org/ZDB-GENE-990715-6")</f>
        <v>https://zfin.org/ZDB-GENE-990715-6</v>
      </c>
      <c r="K3174" t="s">
        <v>2433</v>
      </c>
    </row>
    <row r="3175" spans="1:11" x14ac:dyDescent="0.2">
      <c r="A3175">
        <v>7.2327484178318099E-37</v>
      </c>
      <c r="B3175">
        <v>1.0945847862139999</v>
      </c>
      <c r="C3175">
        <v>0.90100000000000002</v>
      </c>
      <c r="D3175">
        <v>0.59899999999999998</v>
      </c>
      <c r="E3175">
        <v>1.1198464375329E-32</v>
      </c>
      <c r="F3175">
        <v>13</v>
      </c>
      <c r="G3175" t="s">
        <v>5510</v>
      </c>
      <c r="H3175" t="s">
        <v>5511</v>
      </c>
      <c r="I3175" t="s">
        <v>5510</v>
      </c>
      <c r="J3175" s="1" t="str">
        <f>HYPERLINK("https://zfin.org/ZDB-GENE-000619-1")</f>
        <v>https://zfin.org/ZDB-GENE-000619-1</v>
      </c>
      <c r="K3175" t="s">
        <v>5512</v>
      </c>
    </row>
    <row r="3176" spans="1:11" x14ac:dyDescent="0.2">
      <c r="A3176">
        <v>3.1544580616124199E-35</v>
      </c>
      <c r="B3176">
        <v>0.94059786812361501</v>
      </c>
      <c r="C3176">
        <v>0.75800000000000001</v>
      </c>
      <c r="D3176">
        <v>0.33400000000000002</v>
      </c>
      <c r="E3176">
        <v>4.8840474167945097E-31</v>
      </c>
      <c r="F3176">
        <v>13</v>
      </c>
      <c r="G3176" t="s">
        <v>5704</v>
      </c>
      <c r="H3176" t="s">
        <v>5705</v>
      </c>
      <c r="I3176" t="s">
        <v>5704</v>
      </c>
      <c r="J3176" s="1" t="str">
        <f>HYPERLINK("https://zfin.org/ZDB-GENE-061103-283")</f>
        <v>https://zfin.org/ZDB-GENE-061103-283</v>
      </c>
      <c r="K3176" t="s">
        <v>5706</v>
      </c>
    </row>
    <row r="3177" spans="1:11" x14ac:dyDescent="0.2">
      <c r="A3177">
        <v>1.9582812868343099E-31</v>
      </c>
      <c r="B3177">
        <v>0.87203128620533199</v>
      </c>
      <c r="C3177">
        <v>0.89400000000000002</v>
      </c>
      <c r="D3177">
        <v>0.60699999999999998</v>
      </c>
      <c r="E3177">
        <v>3.0320069164055602E-27</v>
      </c>
      <c r="F3177">
        <v>13</v>
      </c>
      <c r="G3177" t="s">
        <v>2799</v>
      </c>
      <c r="H3177" t="s">
        <v>2800</v>
      </c>
      <c r="I3177" t="s">
        <v>2799</v>
      </c>
      <c r="J3177" s="1" t="str">
        <f>HYPERLINK("https://zfin.org/ZDB-GENE-040426-2931")</f>
        <v>https://zfin.org/ZDB-GENE-040426-2931</v>
      </c>
      <c r="K3177" t="s">
        <v>2801</v>
      </c>
    </row>
    <row r="3178" spans="1:11" x14ac:dyDescent="0.2">
      <c r="A3178">
        <v>4.7373528834868297E-31</v>
      </c>
      <c r="B3178">
        <v>0.83588026967797202</v>
      </c>
      <c r="C3178">
        <v>0.441</v>
      </c>
      <c r="D3178">
        <v>0.11</v>
      </c>
      <c r="E3178">
        <v>7.3348434695026604E-27</v>
      </c>
      <c r="F3178">
        <v>13</v>
      </c>
      <c r="G3178" t="s">
        <v>6273</v>
      </c>
      <c r="H3178" t="s">
        <v>6274</v>
      </c>
      <c r="I3178" t="s">
        <v>6273</v>
      </c>
      <c r="J3178" s="1" t="str">
        <f>HYPERLINK("https://zfin.org/ZDB-GENE-001020-1")</f>
        <v>https://zfin.org/ZDB-GENE-001020-1</v>
      </c>
      <c r="K3178" t="s">
        <v>6275</v>
      </c>
    </row>
    <row r="3179" spans="1:11" x14ac:dyDescent="0.2">
      <c r="A3179">
        <v>1.9996229966115499E-30</v>
      </c>
      <c r="B3179">
        <v>1.20188260649096</v>
      </c>
      <c r="C3179">
        <v>0.72699999999999998</v>
      </c>
      <c r="D3179">
        <v>0.35699999999999998</v>
      </c>
      <c r="E3179">
        <v>3.0960162856536601E-26</v>
      </c>
      <c r="F3179">
        <v>13</v>
      </c>
      <c r="G3179" t="s">
        <v>6276</v>
      </c>
      <c r="H3179" t="s">
        <v>6277</v>
      </c>
      <c r="I3179" t="s">
        <v>6276</v>
      </c>
      <c r="J3179" s="1" t="str">
        <f>HYPERLINK("https://zfin.org/ZDB-GENE-131127-95")</f>
        <v>https://zfin.org/ZDB-GENE-131127-95</v>
      </c>
      <c r="K3179" t="s">
        <v>6278</v>
      </c>
    </row>
    <row r="3180" spans="1:11" x14ac:dyDescent="0.2">
      <c r="A3180">
        <v>2.3348426131965199E-30</v>
      </c>
      <c r="B3180">
        <v>0.74978474657360406</v>
      </c>
      <c r="C3180">
        <v>0.94399999999999995</v>
      </c>
      <c r="D3180">
        <v>0.74</v>
      </c>
      <c r="E3180">
        <v>3.6150368180121799E-26</v>
      </c>
      <c r="F3180">
        <v>13</v>
      </c>
      <c r="G3180" t="s">
        <v>2018</v>
      </c>
      <c r="H3180" t="s">
        <v>2019</v>
      </c>
      <c r="I3180" t="s">
        <v>2018</v>
      </c>
      <c r="J3180" s="1" t="str">
        <f>HYPERLINK("https://zfin.org/ZDB-GENE-101011-2")</f>
        <v>https://zfin.org/ZDB-GENE-101011-2</v>
      </c>
      <c r="K3180" t="s">
        <v>2020</v>
      </c>
    </row>
    <row r="3181" spans="1:11" x14ac:dyDescent="0.2">
      <c r="A3181">
        <v>5.6694155380200699E-30</v>
      </c>
      <c r="B3181">
        <v>0.81722587877761899</v>
      </c>
      <c r="C3181">
        <v>0.88200000000000001</v>
      </c>
      <c r="D3181">
        <v>0.56599999999999995</v>
      </c>
      <c r="E3181">
        <v>8.7779560775164695E-26</v>
      </c>
      <c r="F3181">
        <v>13</v>
      </c>
      <c r="G3181" t="s">
        <v>2446</v>
      </c>
      <c r="H3181" t="s">
        <v>2447</v>
      </c>
      <c r="I3181" t="s">
        <v>2446</v>
      </c>
      <c r="J3181" s="1" t="str">
        <f>HYPERLINK("https://zfin.org/ZDB-GENE-030131-4678")</f>
        <v>https://zfin.org/ZDB-GENE-030131-4678</v>
      </c>
      <c r="K3181" t="s">
        <v>2448</v>
      </c>
    </row>
    <row r="3182" spans="1:11" x14ac:dyDescent="0.2">
      <c r="A3182">
        <v>2.0923599134316399E-29</v>
      </c>
      <c r="B3182">
        <v>0.51046690079763102</v>
      </c>
      <c r="C3182">
        <v>0.193</v>
      </c>
      <c r="D3182">
        <v>1.7999999999999999E-2</v>
      </c>
      <c r="E3182">
        <v>3.2396008539661999E-25</v>
      </c>
      <c r="F3182">
        <v>13</v>
      </c>
      <c r="G3182" t="s">
        <v>6279</v>
      </c>
      <c r="H3182" t="s">
        <v>6280</v>
      </c>
      <c r="I3182" t="s">
        <v>6279</v>
      </c>
      <c r="J3182" s="1" t="str">
        <f>HYPERLINK("https://zfin.org/ZDB-GENE-031003-1")</f>
        <v>https://zfin.org/ZDB-GENE-031003-1</v>
      </c>
      <c r="K3182" t="s">
        <v>6281</v>
      </c>
    </row>
    <row r="3183" spans="1:11" x14ac:dyDescent="0.2">
      <c r="A3183">
        <v>8.4634596421701806E-28</v>
      </c>
      <c r="B3183">
        <v>0.80229736653565997</v>
      </c>
      <c r="C3183">
        <v>0.88800000000000001</v>
      </c>
      <c r="D3183">
        <v>0.60499999999999998</v>
      </c>
      <c r="E3183">
        <v>1.3103974563972099E-23</v>
      </c>
      <c r="F3183">
        <v>13</v>
      </c>
      <c r="G3183" t="s">
        <v>2389</v>
      </c>
      <c r="H3183" t="s">
        <v>2390</v>
      </c>
      <c r="I3183" t="s">
        <v>2389</v>
      </c>
      <c r="J3183" s="1" t="str">
        <f>HYPERLINK("https://zfin.org/ZDB-GENE-050308-1")</f>
        <v>https://zfin.org/ZDB-GENE-050308-1</v>
      </c>
      <c r="K3183" t="s">
        <v>2391</v>
      </c>
    </row>
    <row r="3184" spans="1:11" x14ac:dyDescent="0.2">
      <c r="A3184">
        <v>4.8342086627469598E-26</v>
      </c>
      <c r="B3184">
        <v>0.79217133977221599</v>
      </c>
      <c r="C3184">
        <v>0.42899999999999999</v>
      </c>
      <c r="D3184">
        <v>0.12</v>
      </c>
      <c r="E3184">
        <v>7.4848052725311197E-22</v>
      </c>
      <c r="F3184">
        <v>13</v>
      </c>
      <c r="G3184" t="s">
        <v>6282</v>
      </c>
      <c r="H3184" t="s">
        <v>6283</v>
      </c>
      <c r="I3184" t="s">
        <v>6282</v>
      </c>
      <c r="J3184" s="1" t="str">
        <f>HYPERLINK("https://zfin.org/ZDB-GENE-081104-416")</f>
        <v>https://zfin.org/ZDB-GENE-081104-416</v>
      </c>
      <c r="K3184" t="s">
        <v>6284</v>
      </c>
    </row>
    <row r="3185" spans="1:11" x14ac:dyDescent="0.2">
      <c r="A3185">
        <v>1.69756964686339E-25</v>
      </c>
      <c r="B3185">
        <v>0.69693901767182198</v>
      </c>
      <c r="C3185">
        <v>0.84499999999999997</v>
      </c>
      <c r="D3185">
        <v>0.51500000000000001</v>
      </c>
      <c r="E3185">
        <v>2.6283470842385901E-21</v>
      </c>
      <c r="F3185">
        <v>13</v>
      </c>
      <c r="G3185" t="s">
        <v>2930</v>
      </c>
      <c r="H3185" t="s">
        <v>2931</v>
      </c>
      <c r="I3185" t="s">
        <v>2930</v>
      </c>
      <c r="J3185" s="1" t="str">
        <f>HYPERLINK("https://zfin.org/ZDB-GENE-031016-2")</f>
        <v>https://zfin.org/ZDB-GENE-031016-2</v>
      </c>
      <c r="K3185" t="s">
        <v>2932</v>
      </c>
    </row>
    <row r="3186" spans="1:11" x14ac:dyDescent="0.2">
      <c r="A3186">
        <v>3.0671159832295102E-24</v>
      </c>
      <c r="B3186">
        <v>0.79133473866743198</v>
      </c>
      <c r="C3186">
        <v>0.68899999999999995</v>
      </c>
      <c r="D3186">
        <v>0.34499999999999997</v>
      </c>
      <c r="E3186">
        <v>4.7488156768342502E-20</v>
      </c>
      <c r="F3186">
        <v>13</v>
      </c>
      <c r="G3186" t="s">
        <v>2945</v>
      </c>
      <c r="H3186" t="s">
        <v>2946</v>
      </c>
      <c r="I3186" t="s">
        <v>2945</v>
      </c>
      <c r="J3186" s="1" t="str">
        <f>HYPERLINK("https://zfin.org/ZDB-GENE-040912-46")</f>
        <v>https://zfin.org/ZDB-GENE-040912-46</v>
      </c>
      <c r="K3186" t="s">
        <v>2947</v>
      </c>
    </row>
    <row r="3187" spans="1:11" x14ac:dyDescent="0.2">
      <c r="A3187">
        <v>5.6498807610270899E-24</v>
      </c>
      <c r="B3187">
        <v>0.92890049516485396</v>
      </c>
      <c r="C3187">
        <v>0.65800000000000003</v>
      </c>
      <c r="D3187">
        <v>0.3</v>
      </c>
      <c r="E3187">
        <v>8.7477103822982405E-20</v>
      </c>
      <c r="F3187">
        <v>13</v>
      </c>
      <c r="G3187" t="s">
        <v>6285</v>
      </c>
      <c r="H3187" t="s">
        <v>6286</v>
      </c>
      <c r="I3187" t="s">
        <v>6285</v>
      </c>
      <c r="J3187" s="1" t="str">
        <f>HYPERLINK("https://zfin.org/ZDB-GENE-091204-19")</f>
        <v>https://zfin.org/ZDB-GENE-091204-19</v>
      </c>
      <c r="K3187" t="s">
        <v>6287</v>
      </c>
    </row>
    <row r="3188" spans="1:11" x14ac:dyDescent="0.2">
      <c r="A3188">
        <v>1.80871248504816E-22</v>
      </c>
      <c r="B3188">
        <v>0.60619414817466799</v>
      </c>
      <c r="C3188">
        <v>0.92500000000000004</v>
      </c>
      <c r="D3188">
        <v>0.72599999999999998</v>
      </c>
      <c r="E3188">
        <v>2.80042954060007E-18</v>
      </c>
      <c r="F3188">
        <v>13</v>
      </c>
      <c r="G3188" t="s">
        <v>2482</v>
      </c>
      <c r="H3188" t="s">
        <v>2483</v>
      </c>
      <c r="I3188" t="s">
        <v>2482</v>
      </c>
      <c r="J3188" s="1" t="str">
        <f>HYPERLINK("https://zfin.org/ZDB-GENE-030826-15")</f>
        <v>https://zfin.org/ZDB-GENE-030826-15</v>
      </c>
      <c r="K3188" t="s">
        <v>2484</v>
      </c>
    </row>
    <row r="3189" spans="1:11" x14ac:dyDescent="0.2">
      <c r="A3189">
        <v>4.4564120698325404E-22</v>
      </c>
      <c r="B3189">
        <v>0.63725596211852897</v>
      </c>
      <c r="C3189">
        <v>0.88200000000000001</v>
      </c>
      <c r="D3189">
        <v>0.61499999999999999</v>
      </c>
      <c r="E3189">
        <v>6.8998628077217204E-18</v>
      </c>
      <c r="F3189">
        <v>13</v>
      </c>
      <c r="G3189" t="s">
        <v>6288</v>
      </c>
      <c r="H3189" t="s">
        <v>6289</v>
      </c>
      <c r="I3189" t="s">
        <v>6288</v>
      </c>
      <c r="J3189" s="1" t="str">
        <f>HYPERLINK("https://zfin.org/ZDB-GENE-030521-13")</f>
        <v>https://zfin.org/ZDB-GENE-030521-13</v>
      </c>
      <c r="K3189" t="s">
        <v>6290</v>
      </c>
    </row>
    <row r="3190" spans="1:11" x14ac:dyDescent="0.2">
      <c r="A3190">
        <v>1.82031722222036E-21</v>
      </c>
      <c r="B3190">
        <v>1.1108418074842299</v>
      </c>
      <c r="C3190">
        <v>0.59</v>
      </c>
      <c r="D3190">
        <v>0.27300000000000002</v>
      </c>
      <c r="E3190">
        <v>2.8183971551637899E-17</v>
      </c>
      <c r="F3190">
        <v>13</v>
      </c>
      <c r="G3190" t="s">
        <v>5760</v>
      </c>
      <c r="H3190" t="s">
        <v>5761</v>
      </c>
      <c r="I3190" t="s">
        <v>5760</v>
      </c>
      <c r="J3190" s="1" t="str">
        <f>HYPERLINK("https://zfin.org/ZDB-GENE-051030-98")</f>
        <v>https://zfin.org/ZDB-GENE-051030-98</v>
      </c>
      <c r="K3190" t="s">
        <v>5762</v>
      </c>
    </row>
    <row r="3191" spans="1:11" x14ac:dyDescent="0.2">
      <c r="A3191">
        <v>4.1656595945580402E-21</v>
      </c>
      <c r="B3191">
        <v>0.60746431307093596</v>
      </c>
      <c r="C3191">
        <v>0.64</v>
      </c>
      <c r="D3191">
        <v>0.27</v>
      </c>
      <c r="E3191">
        <v>6.4496907502542205E-17</v>
      </c>
      <c r="F3191">
        <v>13</v>
      </c>
      <c r="G3191" t="s">
        <v>5748</v>
      </c>
      <c r="H3191" t="s">
        <v>5749</v>
      </c>
      <c r="I3191" t="s">
        <v>5748</v>
      </c>
      <c r="J3191" s="1" t="str">
        <f>HYPERLINK("https://zfin.org/ZDB-GENE-070912-648")</f>
        <v>https://zfin.org/ZDB-GENE-070912-648</v>
      </c>
      <c r="K3191" t="s">
        <v>5750</v>
      </c>
    </row>
    <row r="3192" spans="1:11" x14ac:dyDescent="0.2">
      <c r="A3192">
        <v>5.09658015178271E-21</v>
      </c>
      <c r="B3192">
        <v>0.73661665295568601</v>
      </c>
      <c r="C3192">
        <v>0.59</v>
      </c>
      <c r="D3192">
        <v>0.254</v>
      </c>
      <c r="E3192">
        <v>7.8910350490051705E-17</v>
      </c>
      <c r="F3192">
        <v>13</v>
      </c>
      <c r="G3192" t="s">
        <v>6291</v>
      </c>
      <c r="H3192" t="s">
        <v>6292</v>
      </c>
      <c r="I3192" t="s">
        <v>6291</v>
      </c>
      <c r="J3192" s="1" t="str">
        <f>HYPERLINK("https://zfin.org/ZDB-GENE-120215-186")</f>
        <v>https://zfin.org/ZDB-GENE-120215-186</v>
      </c>
      <c r="K3192" t="s">
        <v>6293</v>
      </c>
    </row>
    <row r="3193" spans="1:11" x14ac:dyDescent="0.2">
      <c r="A3193">
        <v>1.5568348003985399E-20</v>
      </c>
      <c r="B3193">
        <v>0.57541879833204901</v>
      </c>
      <c r="C3193">
        <v>0.87</v>
      </c>
      <c r="D3193">
        <v>0.60099999999999998</v>
      </c>
      <c r="E3193">
        <v>2.4104473214570601E-16</v>
      </c>
      <c r="F3193">
        <v>13</v>
      </c>
      <c r="G3193" t="s">
        <v>2588</v>
      </c>
      <c r="H3193" t="s">
        <v>2589</v>
      </c>
      <c r="I3193" t="s">
        <v>2588</v>
      </c>
      <c r="J3193" s="1" t="str">
        <f>HYPERLINK("https://zfin.org/ZDB-GENE-030131-5493")</f>
        <v>https://zfin.org/ZDB-GENE-030131-5493</v>
      </c>
      <c r="K3193" t="s">
        <v>2590</v>
      </c>
    </row>
    <row r="3194" spans="1:11" x14ac:dyDescent="0.2">
      <c r="A3194">
        <v>1.8990572644411199E-20</v>
      </c>
      <c r="B3194">
        <v>0.54015259366725799</v>
      </c>
      <c r="C3194">
        <v>0.94399999999999995</v>
      </c>
      <c r="D3194">
        <v>0.73899999999999999</v>
      </c>
      <c r="E3194">
        <v>2.9403103625341801E-16</v>
      </c>
      <c r="F3194">
        <v>13</v>
      </c>
      <c r="G3194" t="s">
        <v>2835</v>
      </c>
      <c r="H3194" t="s">
        <v>2836</v>
      </c>
      <c r="I3194" t="s">
        <v>2835</v>
      </c>
      <c r="J3194" s="1" t="str">
        <f>HYPERLINK("https://zfin.org/ZDB-GENE-031118-36")</f>
        <v>https://zfin.org/ZDB-GENE-031118-36</v>
      </c>
      <c r="K3194" t="s">
        <v>2837</v>
      </c>
    </row>
    <row r="3195" spans="1:11" x14ac:dyDescent="0.2">
      <c r="A3195">
        <v>1.1228310988693299E-19</v>
      </c>
      <c r="B3195">
        <v>0.59393541421908103</v>
      </c>
      <c r="C3195">
        <v>0.92500000000000004</v>
      </c>
      <c r="D3195">
        <v>0.78300000000000003</v>
      </c>
      <c r="E3195">
        <v>1.7384793903793801E-15</v>
      </c>
      <c r="F3195">
        <v>13</v>
      </c>
      <c r="G3195" t="s">
        <v>1867</v>
      </c>
      <c r="H3195" t="s">
        <v>1868</v>
      </c>
      <c r="I3195" t="s">
        <v>1867</v>
      </c>
      <c r="J3195" s="1" t="str">
        <f>HYPERLINK("https://zfin.org/ZDB-GENE-030825-1")</f>
        <v>https://zfin.org/ZDB-GENE-030825-1</v>
      </c>
      <c r="K3195" t="s">
        <v>1869</v>
      </c>
    </row>
    <row r="3196" spans="1:11" x14ac:dyDescent="0.2">
      <c r="A3196">
        <v>1.89333321037933E-19</v>
      </c>
      <c r="B3196">
        <v>0.61823212808628303</v>
      </c>
      <c r="C3196">
        <v>0.39800000000000002</v>
      </c>
      <c r="D3196">
        <v>0.128</v>
      </c>
      <c r="E3196">
        <v>2.93144780963032E-15</v>
      </c>
      <c r="F3196">
        <v>13</v>
      </c>
      <c r="G3196" t="s">
        <v>6294</v>
      </c>
      <c r="H3196" t="s">
        <v>6295</v>
      </c>
      <c r="I3196" t="s">
        <v>6294</v>
      </c>
      <c r="J3196" s="1" t="str">
        <f>HYPERLINK("https://zfin.org/ZDB-GENE-090814-2")</f>
        <v>https://zfin.org/ZDB-GENE-090814-2</v>
      </c>
      <c r="K3196" t="s">
        <v>6296</v>
      </c>
    </row>
    <row r="3197" spans="1:11" x14ac:dyDescent="0.2">
      <c r="A3197">
        <v>4.3997346718849102E-19</v>
      </c>
      <c r="B3197">
        <v>0.39744652905019401</v>
      </c>
      <c r="C3197">
        <v>0.16800000000000001</v>
      </c>
      <c r="D3197">
        <v>2.4E-2</v>
      </c>
      <c r="E3197">
        <v>6.8121091924794004E-15</v>
      </c>
      <c r="F3197">
        <v>13</v>
      </c>
      <c r="G3197" t="s">
        <v>6297</v>
      </c>
      <c r="H3197" t="s">
        <v>6298</v>
      </c>
      <c r="I3197" t="s">
        <v>6297</v>
      </c>
      <c r="J3197" s="1" t="str">
        <f>HYPERLINK("https://zfin.org/ZDB-GENE-030131-2376")</f>
        <v>https://zfin.org/ZDB-GENE-030131-2376</v>
      </c>
      <c r="K3197" t="s">
        <v>6299</v>
      </c>
    </row>
    <row r="3198" spans="1:11" x14ac:dyDescent="0.2">
      <c r="A3198">
        <v>6.4863933818739602E-19</v>
      </c>
      <c r="B3198">
        <v>0.77046949413320598</v>
      </c>
      <c r="C3198">
        <v>0.60199999999999998</v>
      </c>
      <c r="D3198">
        <v>0.30099999999999999</v>
      </c>
      <c r="E3198">
        <v>1.00428828731555E-14</v>
      </c>
      <c r="F3198">
        <v>13</v>
      </c>
      <c r="G3198" t="s">
        <v>6300</v>
      </c>
      <c r="H3198" t="s">
        <v>6301</v>
      </c>
      <c r="I3198" t="s">
        <v>6300</v>
      </c>
      <c r="J3198" s="1" t="str">
        <f>HYPERLINK("https://zfin.org/ZDB-GENE-070112-1732")</f>
        <v>https://zfin.org/ZDB-GENE-070112-1732</v>
      </c>
      <c r="K3198" t="s">
        <v>6302</v>
      </c>
    </row>
    <row r="3199" spans="1:11" x14ac:dyDescent="0.2">
      <c r="A3199">
        <v>6.6596657760645398E-19</v>
      </c>
      <c r="B3199">
        <v>0.698593981630246</v>
      </c>
      <c r="C3199">
        <v>0.497</v>
      </c>
      <c r="D3199">
        <v>0.21099999999999999</v>
      </c>
      <c r="E3199">
        <v>1.03111605210807E-14</v>
      </c>
      <c r="F3199">
        <v>13</v>
      </c>
      <c r="G3199" t="s">
        <v>6303</v>
      </c>
      <c r="H3199" t="s">
        <v>6304</v>
      </c>
      <c r="I3199" t="s">
        <v>6303</v>
      </c>
      <c r="J3199" s="1" t="str">
        <f>HYPERLINK("https://zfin.org/ZDB-GENE-030715-1")</f>
        <v>https://zfin.org/ZDB-GENE-030715-1</v>
      </c>
      <c r="K3199" t="s">
        <v>6305</v>
      </c>
    </row>
    <row r="3200" spans="1:11" x14ac:dyDescent="0.2">
      <c r="A3200">
        <v>6.7791058918647399E-19</v>
      </c>
      <c r="B3200">
        <v>0.46694681119906101</v>
      </c>
      <c r="C3200">
        <v>0.97499999999999998</v>
      </c>
      <c r="D3200">
        <v>0.88500000000000001</v>
      </c>
      <c r="E3200">
        <v>1.04960896523742E-14</v>
      </c>
      <c r="F3200">
        <v>13</v>
      </c>
      <c r="G3200" t="s">
        <v>1237</v>
      </c>
      <c r="H3200" t="s">
        <v>1238</v>
      </c>
      <c r="I3200" t="s">
        <v>1237</v>
      </c>
      <c r="J3200" s="1" t="str">
        <f>HYPERLINK("https://zfin.org/ZDB-GENE-030131-3532")</f>
        <v>https://zfin.org/ZDB-GENE-030131-3532</v>
      </c>
      <c r="K3200" t="s">
        <v>1239</v>
      </c>
    </row>
    <row r="3201" spans="1:11" x14ac:dyDescent="0.2">
      <c r="A3201">
        <v>8.2264636431044502E-19</v>
      </c>
      <c r="B3201">
        <v>-2.2287143132112601</v>
      </c>
      <c r="C3201">
        <v>0.88800000000000001</v>
      </c>
      <c r="D3201">
        <v>0.94599999999999995</v>
      </c>
      <c r="E3201">
        <v>1.2737033658618601E-14</v>
      </c>
      <c r="F3201">
        <v>13</v>
      </c>
      <c r="G3201" t="s">
        <v>2981</v>
      </c>
      <c r="H3201" t="s">
        <v>2982</v>
      </c>
      <c r="I3201" t="s">
        <v>2981</v>
      </c>
      <c r="J3201" s="1" t="str">
        <f>HYPERLINK("https://zfin.org/ZDB-GENE-121214-193")</f>
        <v>https://zfin.org/ZDB-GENE-121214-193</v>
      </c>
      <c r="K3201" t="s">
        <v>2983</v>
      </c>
    </row>
    <row r="3202" spans="1:11" x14ac:dyDescent="0.2">
      <c r="A3202">
        <v>3.4063532921829898E-18</v>
      </c>
      <c r="B3202">
        <v>0.53997795426837902</v>
      </c>
      <c r="C3202">
        <v>0.19900000000000001</v>
      </c>
      <c r="D3202">
        <v>3.6999999999999998E-2</v>
      </c>
      <c r="E3202">
        <v>5.27405680228692E-14</v>
      </c>
      <c r="F3202">
        <v>13</v>
      </c>
      <c r="G3202" t="s">
        <v>6306</v>
      </c>
      <c r="H3202" t="s">
        <v>6307</v>
      </c>
      <c r="I3202" t="s">
        <v>6306</v>
      </c>
      <c r="J3202" s="1" t="str">
        <f>HYPERLINK("https://zfin.org/ZDB-GENE-140819-1")</f>
        <v>https://zfin.org/ZDB-GENE-140819-1</v>
      </c>
      <c r="K3202" t="s">
        <v>6308</v>
      </c>
    </row>
    <row r="3203" spans="1:11" x14ac:dyDescent="0.2">
      <c r="A3203">
        <v>6.8029693775466403E-18</v>
      </c>
      <c r="B3203">
        <v>0.55723680582047797</v>
      </c>
      <c r="C3203">
        <v>0.53400000000000003</v>
      </c>
      <c r="D3203">
        <v>0.22500000000000001</v>
      </c>
      <c r="E3203">
        <v>1.05330374872555E-13</v>
      </c>
      <c r="F3203">
        <v>13</v>
      </c>
      <c r="G3203" t="s">
        <v>6077</v>
      </c>
      <c r="H3203" t="s">
        <v>6078</v>
      </c>
      <c r="I3203" t="s">
        <v>6077</v>
      </c>
      <c r="J3203" s="1" t="str">
        <f>HYPERLINK("https://zfin.org/ZDB-GENE-030131-8455")</f>
        <v>https://zfin.org/ZDB-GENE-030131-8455</v>
      </c>
      <c r="K3203" t="s">
        <v>6079</v>
      </c>
    </row>
    <row r="3204" spans="1:11" x14ac:dyDescent="0.2">
      <c r="A3204">
        <v>1.3180036353413501E-17</v>
      </c>
      <c r="B3204">
        <v>0.56039181341304301</v>
      </c>
      <c r="C3204">
        <v>0.224</v>
      </c>
      <c r="D3204">
        <v>4.9000000000000002E-2</v>
      </c>
      <c r="E3204">
        <v>2.0406650285990099E-13</v>
      </c>
      <c r="F3204">
        <v>13</v>
      </c>
      <c r="G3204" t="s">
        <v>6309</v>
      </c>
      <c r="H3204" t="s">
        <v>6310</v>
      </c>
      <c r="I3204" t="s">
        <v>6309</v>
      </c>
      <c r="J3204" s="1" t="str">
        <f>HYPERLINK("https://zfin.org/ZDB-GENE-010619-1")</f>
        <v>https://zfin.org/ZDB-GENE-010619-1</v>
      </c>
      <c r="K3204" t="s">
        <v>6311</v>
      </c>
    </row>
    <row r="3205" spans="1:11" x14ac:dyDescent="0.2">
      <c r="A3205">
        <v>1.44265370988253E-17</v>
      </c>
      <c r="B3205">
        <v>0.51782388869292395</v>
      </c>
      <c r="C3205">
        <v>0.29199999999999998</v>
      </c>
      <c r="D3205">
        <v>7.9000000000000001E-2</v>
      </c>
      <c r="E3205">
        <v>2.2336607390111299E-13</v>
      </c>
      <c r="F3205">
        <v>13</v>
      </c>
      <c r="G3205" t="s">
        <v>6312</v>
      </c>
      <c r="H3205" t="s">
        <v>6313</v>
      </c>
      <c r="I3205" t="s">
        <v>6312</v>
      </c>
      <c r="J3205" s="1" t="str">
        <f>HYPERLINK("https://zfin.org/ZDB-GENE-080229-6")</f>
        <v>https://zfin.org/ZDB-GENE-080229-6</v>
      </c>
      <c r="K3205" t="s">
        <v>6314</v>
      </c>
    </row>
    <row r="3206" spans="1:11" x14ac:dyDescent="0.2">
      <c r="A3206">
        <v>4.6410212527135599E-17</v>
      </c>
      <c r="B3206">
        <v>0.46505286569044002</v>
      </c>
      <c r="C3206">
        <v>0.99399999999999999</v>
      </c>
      <c r="D3206">
        <v>0.85699999999999998</v>
      </c>
      <c r="E3206">
        <v>7.1856932055764101E-13</v>
      </c>
      <c r="F3206">
        <v>13</v>
      </c>
      <c r="G3206" t="s">
        <v>1450</v>
      </c>
      <c r="H3206" t="s">
        <v>1451</v>
      </c>
      <c r="I3206" t="s">
        <v>1450</v>
      </c>
      <c r="J3206" s="1" t="str">
        <f>HYPERLINK("https://zfin.org/ZDB-GENE-060503-431")</f>
        <v>https://zfin.org/ZDB-GENE-060503-431</v>
      </c>
      <c r="K3206" t="s">
        <v>1452</v>
      </c>
    </row>
    <row r="3207" spans="1:11" x14ac:dyDescent="0.2">
      <c r="A3207">
        <v>1.42461685169121E-16</v>
      </c>
      <c r="B3207">
        <v>0.59890402052833802</v>
      </c>
      <c r="C3207">
        <v>0.72699999999999998</v>
      </c>
      <c r="D3207">
        <v>0.46800000000000003</v>
      </c>
      <c r="E3207">
        <v>2.2057342714735099E-12</v>
      </c>
      <c r="F3207">
        <v>13</v>
      </c>
      <c r="G3207" t="s">
        <v>6315</v>
      </c>
      <c r="H3207" t="s">
        <v>6316</v>
      </c>
      <c r="I3207" t="s">
        <v>6315</v>
      </c>
      <c r="J3207" s="1" t="str">
        <f>HYPERLINK("https://zfin.org/ZDB-GENE-050419-45")</f>
        <v>https://zfin.org/ZDB-GENE-050419-45</v>
      </c>
      <c r="K3207" t="s">
        <v>6317</v>
      </c>
    </row>
    <row r="3208" spans="1:11" x14ac:dyDescent="0.2">
      <c r="A3208">
        <v>1.7361750931347499E-16</v>
      </c>
      <c r="B3208">
        <v>0.62996988368595497</v>
      </c>
      <c r="C3208">
        <v>0.32900000000000001</v>
      </c>
      <c r="D3208">
        <v>0.104</v>
      </c>
      <c r="E3208">
        <v>2.68811989670053E-12</v>
      </c>
      <c r="F3208">
        <v>13</v>
      </c>
      <c r="G3208" t="s">
        <v>6318</v>
      </c>
      <c r="H3208" t="s">
        <v>6319</v>
      </c>
      <c r="I3208" t="s">
        <v>6318</v>
      </c>
      <c r="J3208" s="1" t="str">
        <f>HYPERLINK("https://zfin.org/ZDB-GENE-040912-141")</f>
        <v>https://zfin.org/ZDB-GENE-040912-141</v>
      </c>
      <c r="K3208" t="s">
        <v>6320</v>
      </c>
    </row>
    <row r="3209" spans="1:11" x14ac:dyDescent="0.2">
      <c r="A3209">
        <v>2.3464612761838902E-16</v>
      </c>
      <c r="B3209">
        <v>0.59716018442324503</v>
      </c>
      <c r="C3209">
        <v>0.75800000000000001</v>
      </c>
      <c r="D3209">
        <v>0.47599999999999998</v>
      </c>
      <c r="E3209">
        <v>3.63302599391552E-12</v>
      </c>
      <c r="F3209">
        <v>13</v>
      </c>
      <c r="G3209" t="s">
        <v>3356</v>
      </c>
      <c r="H3209" t="s">
        <v>3357</v>
      </c>
      <c r="I3209" t="s">
        <v>3356</v>
      </c>
      <c r="J3209" s="1" t="str">
        <f>HYPERLINK("https://zfin.org/ZDB-GENE-030131-7103")</f>
        <v>https://zfin.org/ZDB-GENE-030131-7103</v>
      </c>
      <c r="K3209" t="s">
        <v>3358</v>
      </c>
    </row>
    <row r="3210" spans="1:11" x14ac:dyDescent="0.2">
      <c r="A3210">
        <v>2.6664869325262299E-16</v>
      </c>
      <c r="B3210">
        <v>0.43549471427161801</v>
      </c>
      <c r="C3210">
        <v>0.98799999999999999</v>
      </c>
      <c r="D3210">
        <v>0.88400000000000001</v>
      </c>
      <c r="E3210">
        <v>4.1285217176303604E-12</v>
      </c>
      <c r="F3210">
        <v>13</v>
      </c>
      <c r="G3210" t="s">
        <v>2425</v>
      </c>
      <c r="H3210" t="s">
        <v>2426</v>
      </c>
      <c r="I3210" t="s">
        <v>2425</v>
      </c>
      <c r="J3210" s="1" t="str">
        <f>HYPERLINK("https://zfin.org/ZDB-GENE-990712-18")</f>
        <v>https://zfin.org/ZDB-GENE-990712-18</v>
      </c>
      <c r="K3210" t="s">
        <v>2427</v>
      </c>
    </row>
    <row r="3211" spans="1:11" x14ac:dyDescent="0.2">
      <c r="A3211">
        <v>2.7060040584040998E-16</v>
      </c>
      <c r="B3211">
        <v>0.61667698590045406</v>
      </c>
      <c r="C3211">
        <v>0.46</v>
      </c>
      <c r="D3211">
        <v>0.20100000000000001</v>
      </c>
      <c r="E3211">
        <v>4.1897060836270597E-12</v>
      </c>
      <c r="F3211">
        <v>13</v>
      </c>
      <c r="G3211" t="s">
        <v>6321</v>
      </c>
      <c r="H3211" t="s">
        <v>6322</v>
      </c>
      <c r="I3211" t="s">
        <v>6321</v>
      </c>
      <c r="J3211" s="1" t="str">
        <f>HYPERLINK("https://zfin.org/ZDB-GENE-040426-1370")</f>
        <v>https://zfin.org/ZDB-GENE-040426-1370</v>
      </c>
      <c r="K3211" t="s">
        <v>6323</v>
      </c>
    </row>
    <row r="3212" spans="1:11" x14ac:dyDescent="0.2">
      <c r="A3212">
        <v>4.0716191344559602E-16</v>
      </c>
      <c r="B3212">
        <v>0.61056833527453103</v>
      </c>
      <c r="C3212">
        <v>0.66500000000000004</v>
      </c>
      <c r="D3212">
        <v>0.36499999999999999</v>
      </c>
      <c r="E3212">
        <v>6.3040879058781696E-12</v>
      </c>
      <c r="F3212">
        <v>13</v>
      </c>
      <c r="G3212" t="s">
        <v>3368</v>
      </c>
      <c r="H3212" t="s">
        <v>3369</v>
      </c>
      <c r="I3212" t="s">
        <v>3368</v>
      </c>
      <c r="J3212" s="1" t="str">
        <f>HYPERLINK("https://zfin.org/ZDB-GENE-040426-1877")</f>
        <v>https://zfin.org/ZDB-GENE-040426-1877</v>
      </c>
      <c r="K3212" t="s">
        <v>3370</v>
      </c>
    </row>
    <row r="3213" spans="1:11" x14ac:dyDescent="0.2">
      <c r="A3213">
        <v>4.4234318502986299E-16</v>
      </c>
      <c r="B3213">
        <v>0.50542810848533004</v>
      </c>
      <c r="C3213">
        <v>0.85099999999999998</v>
      </c>
      <c r="D3213">
        <v>0.64400000000000002</v>
      </c>
      <c r="E3213">
        <v>6.8487995338173602E-12</v>
      </c>
      <c r="F3213">
        <v>13</v>
      </c>
      <c r="G3213" t="s">
        <v>2386</v>
      </c>
      <c r="H3213" t="s">
        <v>2387</v>
      </c>
      <c r="I3213" t="s">
        <v>2386</v>
      </c>
      <c r="J3213" s="1" t="str">
        <f>HYPERLINK("https://zfin.org/ZDB-GENE-030131-2524")</f>
        <v>https://zfin.org/ZDB-GENE-030131-2524</v>
      </c>
      <c r="K3213" t="s">
        <v>2388</v>
      </c>
    </row>
    <row r="3214" spans="1:11" x14ac:dyDescent="0.2">
      <c r="A3214">
        <v>7.4140053498011595E-16</v>
      </c>
      <c r="B3214">
        <v>0.376501730490995</v>
      </c>
      <c r="C3214">
        <v>0.98099999999999998</v>
      </c>
      <c r="D3214">
        <v>0.86799999999999999</v>
      </c>
      <c r="E3214">
        <v>1.1479104483097099E-11</v>
      </c>
      <c r="F3214">
        <v>13</v>
      </c>
      <c r="G3214" t="s">
        <v>1231</v>
      </c>
      <c r="H3214" t="s">
        <v>1232</v>
      </c>
      <c r="I3214" t="s">
        <v>1231</v>
      </c>
      <c r="J3214" s="1" t="str">
        <f>HYPERLINK("https://zfin.org/ZDB-GENE-110411-160")</f>
        <v>https://zfin.org/ZDB-GENE-110411-160</v>
      </c>
      <c r="K3214" t="s">
        <v>1233</v>
      </c>
    </row>
    <row r="3215" spans="1:11" x14ac:dyDescent="0.2">
      <c r="A3215">
        <v>7.8005487831918801E-16</v>
      </c>
      <c r="B3215">
        <v>0.52216723252899599</v>
      </c>
      <c r="C3215">
        <v>0.32300000000000001</v>
      </c>
      <c r="D3215">
        <v>0.10199999999999999</v>
      </c>
      <c r="E3215">
        <v>1.2077589681016E-11</v>
      </c>
      <c r="F3215">
        <v>13</v>
      </c>
      <c r="G3215" t="s">
        <v>6324</v>
      </c>
      <c r="H3215" t="s">
        <v>6325</v>
      </c>
      <c r="I3215" t="s">
        <v>6324</v>
      </c>
      <c r="J3215" s="1" t="str">
        <f>HYPERLINK("https://zfin.org/ZDB-GENE-050522-18")</f>
        <v>https://zfin.org/ZDB-GENE-050522-18</v>
      </c>
      <c r="K3215" t="s">
        <v>6326</v>
      </c>
    </row>
    <row r="3216" spans="1:11" x14ac:dyDescent="0.2">
      <c r="A3216">
        <v>8.09512574672897E-16</v>
      </c>
      <c r="B3216">
        <v>0.36684643159881303</v>
      </c>
      <c r="C3216">
        <v>0.98799999999999999</v>
      </c>
      <c r="D3216">
        <v>0.92300000000000004</v>
      </c>
      <c r="E3216">
        <v>1.25336831936605E-11</v>
      </c>
      <c r="F3216">
        <v>13</v>
      </c>
      <c r="G3216" t="s">
        <v>2171</v>
      </c>
      <c r="H3216" t="s">
        <v>2172</v>
      </c>
      <c r="I3216" t="s">
        <v>2171</v>
      </c>
      <c r="J3216" s="1" t="str">
        <f>HYPERLINK("https://zfin.org/ZDB-GENE-030131-8417")</f>
        <v>https://zfin.org/ZDB-GENE-030131-8417</v>
      </c>
      <c r="K3216" t="s">
        <v>2173</v>
      </c>
    </row>
    <row r="3217" spans="1:11" x14ac:dyDescent="0.2">
      <c r="A3217">
        <v>1.1712640199546501E-15</v>
      </c>
      <c r="B3217">
        <v>0.64461966571687801</v>
      </c>
      <c r="C3217">
        <v>0.34799999999999998</v>
      </c>
      <c r="D3217">
        <v>0.125</v>
      </c>
      <c r="E3217">
        <v>1.8134680820957901E-11</v>
      </c>
      <c r="F3217">
        <v>13</v>
      </c>
      <c r="G3217" t="s">
        <v>6327</v>
      </c>
      <c r="H3217" t="s">
        <v>6328</v>
      </c>
      <c r="I3217" t="s">
        <v>6327</v>
      </c>
      <c r="J3217" s="1" t="str">
        <f>HYPERLINK("https://zfin.org/ZDB-GENE-041014-323")</f>
        <v>https://zfin.org/ZDB-GENE-041014-323</v>
      </c>
      <c r="K3217" t="s">
        <v>6329</v>
      </c>
    </row>
    <row r="3218" spans="1:11" x14ac:dyDescent="0.2">
      <c r="A3218">
        <v>1.24650203472266E-15</v>
      </c>
      <c r="B3218">
        <v>0.46617143787759302</v>
      </c>
      <c r="C3218">
        <v>0.92500000000000004</v>
      </c>
      <c r="D3218">
        <v>0.81200000000000006</v>
      </c>
      <c r="E3218">
        <v>1.9299591003610999E-11</v>
      </c>
      <c r="F3218">
        <v>13</v>
      </c>
      <c r="G3218" t="s">
        <v>1805</v>
      </c>
      <c r="H3218" t="s">
        <v>1806</v>
      </c>
      <c r="I3218" t="s">
        <v>1805</v>
      </c>
      <c r="J3218" s="1" t="str">
        <f>HYPERLINK("https://zfin.org/ZDB-GENE-050307-5")</f>
        <v>https://zfin.org/ZDB-GENE-050307-5</v>
      </c>
      <c r="K3218" t="s">
        <v>1807</v>
      </c>
    </row>
    <row r="3219" spans="1:11" x14ac:dyDescent="0.2">
      <c r="A3219">
        <v>1.3138877292680299E-15</v>
      </c>
      <c r="B3219">
        <v>0.61338383439689403</v>
      </c>
      <c r="C3219">
        <v>0.44700000000000001</v>
      </c>
      <c r="D3219">
        <v>0.182</v>
      </c>
      <c r="E3219">
        <v>2.0342923712256899E-11</v>
      </c>
      <c r="F3219">
        <v>13</v>
      </c>
      <c r="G3219" t="s">
        <v>6144</v>
      </c>
      <c r="H3219" t="s">
        <v>6145</v>
      </c>
      <c r="I3219" t="s">
        <v>6144</v>
      </c>
      <c r="J3219" s="1" t="str">
        <f>HYPERLINK("https://zfin.org/ZDB-GENE-040704-33")</f>
        <v>https://zfin.org/ZDB-GENE-040704-33</v>
      </c>
      <c r="K3219" t="s">
        <v>6146</v>
      </c>
    </row>
    <row r="3220" spans="1:11" x14ac:dyDescent="0.2">
      <c r="A3220">
        <v>1.3367166001263599E-15</v>
      </c>
      <c r="B3220">
        <v>0.45316332997921899</v>
      </c>
      <c r="C3220">
        <v>0.95</v>
      </c>
      <c r="D3220">
        <v>0.84099999999999997</v>
      </c>
      <c r="E3220">
        <v>2.0696383119756401E-11</v>
      </c>
      <c r="F3220">
        <v>13</v>
      </c>
      <c r="G3220" t="s">
        <v>5241</v>
      </c>
      <c r="H3220" t="s">
        <v>5242</v>
      </c>
      <c r="I3220" t="s">
        <v>5241</v>
      </c>
      <c r="J3220" s="1" t="str">
        <f>HYPERLINK("https://zfin.org/ZDB-GENE-030410-5")</f>
        <v>https://zfin.org/ZDB-GENE-030410-5</v>
      </c>
      <c r="K3220" t="s">
        <v>5243</v>
      </c>
    </row>
    <row r="3221" spans="1:11" x14ac:dyDescent="0.2">
      <c r="A3221">
        <v>1.4587843631923899E-15</v>
      </c>
      <c r="B3221">
        <v>0.54721873367566898</v>
      </c>
      <c r="C3221">
        <v>0.97499999999999998</v>
      </c>
      <c r="D3221">
        <v>0.86299999999999999</v>
      </c>
      <c r="E3221">
        <v>2.25863582953078E-11</v>
      </c>
      <c r="F3221">
        <v>13</v>
      </c>
      <c r="G3221" t="s">
        <v>4223</v>
      </c>
      <c r="H3221" t="s">
        <v>4224</v>
      </c>
      <c r="I3221" t="s">
        <v>4223</v>
      </c>
      <c r="J3221" s="1" t="str">
        <f>HYPERLINK("https://zfin.org/ZDB-GENE-030131-7859")</f>
        <v>https://zfin.org/ZDB-GENE-030131-7859</v>
      </c>
      <c r="K3221" t="s">
        <v>4225</v>
      </c>
    </row>
    <row r="3222" spans="1:11" x14ac:dyDescent="0.2">
      <c r="A3222">
        <v>1.55201123986817E-15</v>
      </c>
      <c r="B3222">
        <v>-1.1515693573542101</v>
      </c>
      <c r="C3222">
        <v>0.26700000000000002</v>
      </c>
      <c r="D3222">
        <v>0.56299999999999994</v>
      </c>
      <c r="E3222">
        <v>2.40297900268789E-11</v>
      </c>
      <c r="F3222">
        <v>13</v>
      </c>
      <c r="G3222" t="s">
        <v>3002</v>
      </c>
      <c r="H3222" t="s">
        <v>3003</v>
      </c>
      <c r="I3222" t="s">
        <v>3002</v>
      </c>
      <c r="J3222" s="1" t="str">
        <f>HYPERLINK("https://zfin.org/ZDB-GENE-141215-49")</f>
        <v>https://zfin.org/ZDB-GENE-141215-49</v>
      </c>
      <c r="K3222" t="s">
        <v>3004</v>
      </c>
    </row>
    <row r="3223" spans="1:11" x14ac:dyDescent="0.2">
      <c r="A3223">
        <v>2.1777392083719298E-15</v>
      </c>
      <c r="B3223">
        <v>0.34524063809544803</v>
      </c>
      <c r="C3223">
        <v>0.99399999999999999</v>
      </c>
      <c r="D3223">
        <v>0.95899999999999996</v>
      </c>
      <c r="E3223">
        <v>3.3717936163222702E-11</v>
      </c>
      <c r="F3223">
        <v>13</v>
      </c>
      <c r="G3223" t="s">
        <v>3320</v>
      </c>
      <c r="H3223" t="s">
        <v>3321</v>
      </c>
      <c r="I3223" t="s">
        <v>3320</v>
      </c>
      <c r="J3223" s="1" t="str">
        <f>HYPERLINK("https://zfin.org/ZDB-GENE-030131-8681")</f>
        <v>https://zfin.org/ZDB-GENE-030131-8681</v>
      </c>
      <c r="K3223" t="s">
        <v>3322</v>
      </c>
    </row>
    <row r="3224" spans="1:11" x14ac:dyDescent="0.2">
      <c r="A3224">
        <v>3.2243863923998499E-15</v>
      </c>
      <c r="B3224">
        <v>0.60940061169244297</v>
      </c>
      <c r="C3224">
        <v>0.94399999999999995</v>
      </c>
      <c r="D3224">
        <v>0.83899999999999997</v>
      </c>
      <c r="E3224">
        <v>4.9923174513526898E-11</v>
      </c>
      <c r="F3224">
        <v>13</v>
      </c>
      <c r="G3224" t="s">
        <v>2072</v>
      </c>
      <c r="H3224" t="s">
        <v>2073</v>
      </c>
      <c r="I3224" t="s">
        <v>2072</v>
      </c>
      <c r="J3224" s="1" t="str">
        <f>HYPERLINK("https://zfin.org/ZDB-GENE-030131-8599")</f>
        <v>https://zfin.org/ZDB-GENE-030131-8599</v>
      </c>
      <c r="K3224" t="s">
        <v>2074</v>
      </c>
    </row>
    <row r="3225" spans="1:11" x14ac:dyDescent="0.2">
      <c r="A3225">
        <v>3.8883605612287604E-15</v>
      </c>
      <c r="B3225">
        <v>-0.87232505234936397</v>
      </c>
      <c r="C3225">
        <v>0.161</v>
      </c>
      <c r="D3225">
        <v>0.48199999999999998</v>
      </c>
      <c r="E3225">
        <v>6.02034865695049E-11</v>
      </c>
      <c r="F3225">
        <v>13</v>
      </c>
      <c r="G3225" t="s">
        <v>3995</v>
      </c>
      <c r="H3225" t="s">
        <v>3996</v>
      </c>
      <c r="I3225" t="s">
        <v>3995</v>
      </c>
      <c r="J3225" s="1" t="str">
        <f>HYPERLINK("https://zfin.org/ZDB-GENE-050417-338")</f>
        <v>https://zfin.org/ZDB-GENE-050417-338</v>
      </c>
      <c r="K3225" t="s">
        <v>3997</v>
      </c>
    </row>
    <row r="3226" spans="1:11" x14ac:dyDescent="0.2">
      <c r="A3226">
        <v>6.6774123715966302E-15</v>
      </c>
      <c r="B3226">
        <v>0.60848876198827395</v>
      </c>
      <c r="C3226">
        <v>0.64600000000000002</v>
      </c>
      <c r="D3226">
        <v>0.38200000000000001</v>
      </c>
      <c r="E3226">
        <v>1.03386375749431E-10</v>
      </c>
      <c r="F3226">
        <v>13</v>
      </c>
      <c r="G3226" t="s">
        <v>6330</v>
      </c>
      <c r="H3226" t="s">
        <v>6331</v>
      </c>
      <c r="I3226" t="s">
        <v>6330</v>
      </c>
      <c r="J3226" s="1" t="str">
        <f>HYPERLINK("https://zfin.org/ZDB-GENE-030131-9914")</f>
        <v>https://zfin.org/ZDB-GENE-030131-9914</v>
      </c>
      <c r="K3226" t="s">
        <v>6332</v>
      </c>
    </row>
    <row r="3227" spans="1:11" x14ac:dyDescent="0.2">
      <c r="A3227">
        <v>8.1437389281346195E-15</v>
      </c>
      <c r="B3227">
        <v>0.58709249146310705</v>
      </c>
      <c r="C3227">
        <v>0.441</v>
      </c>
      <c r="D3227">
        <v>0.188</v>
      </c>
      <c r="E3227">
        <v>1.2608950982430799E-10</v>
      </c>
      <c r="F3227">
        <v>13</v>
      </c>
      <c r="G3227" t="s">
        <v>5716</v>
      </c>
      <c r="H3227" t="s">
        <v>5717</v>
      </c>
      <c r="I3227" t="s">
        <v>5716</v>
      </c>
      <c r="J3227" s="1" t="str">
        <f>HYPERLINK("https://zfin.org/ZDB-GENE-030131-3481")</f>
        <v>https://zfin.org/ZDB-GENE-030131-3481</v>
      </c>
      <c r="K3227" t="s">
        <v>5718</v>
      </c>
    </row>
    <row r="3228" spans="1:11" x14ac:dyDescent="0.2">
      <c r="A3228">
        <v>9.5878127619056601E-15</v>
      </c>
      <c r="B3228">
        <v>-1.11263289870221</v>
      </c>
      <c r="C3228">
        <v>8.6999999999999994E-2</v>
      </c>
      <c r="D3228">
        <v>0.39500000000000002</v>
      </c>
      <c r="E3228">
        <v>1.48448104992585E-10</v>
      </c>
      <c r="F3228">
        <v>13</v>
      </c>
      <c r="G3228" t="s">
        <v>5603</v>
      </c>
      <c r="H3228" t="s">
        <v>5604</v>
      </c>
      <c r="I3228" t="s">
        <v>5603</v>
      </c>
      <c r="J3228" s="1" t="str">
        <f>HYPERLINK("https://zfin.org/ZDB-GENE-980605-16")</f>
        <v>https://zfin.org/ZDB-GENE-980605-16</v>
      </c>
      <c r="K3228" t="s">
        <v>5605</v>
      </c>
    </row>
    <row r="3229" spans="1:11" x14ac:dyDescent="0.2">
      <c r="A3229">
        <v>1.19621076772958E-14</v>
      </c>
      <c r="B3229">
        <v>0.37190836114001602</v>
      </c>
      <c r="C3229">
        <v>0.20499999999999999</v>
      </c>
      <c r="D3229">
        <v>4.8000000000000001E-2</v>
      </c>
      <c r="E3229">
        <v>1.8520931316757101E-10</v>
      </c>
      <c r="F3229">
        <v>13</v>
      </c>
      <c r="G3229" t="s">
        <v>6333</v>
      </c>
      <c r="H3229" t="s">
        <v>6334</v>
      </c>
      <c r="I3229" t="s">
        <v>6333</v>
      </c>
      <c r="J3229" s="1" t="str">
        <f>HYPERLINK("https://zfin.org/ZDB-GENE-081104-439")</f>
        <v>https://zfin.org/ZDB-GENE-081104-439</v>
      </c>
      <c r="K3229" t="s">
        <v>6335</v>
      </c>
    </row>
    <row r="3230" spans="1:11" x14ac:dyDescent="0.2">
      <c r="A3230">
        <v>1.43374191690687E-14</v>
      </c>
      <c r="B3230">
        <v>0.61212345157566805</v>
      </c>
      <c r="C3230">
        <v>0.48399999999999999</v>
      </c>
      <c r="D3230">
        <v>0.219</v>
      </c>
      <c r="E3230">
        <v>2.2198626099469E-10</v>
      </c>
      <c r="F3230">
        <v>13</v>
      </c>
      <c r="G3230" t="s">
        <v>5816</v>
      </c>
      <c r="H3230" t="s">
        <v>5817</v>
      </c>
      <c r="I3230" t="s">
        <v>5816</v>
      </c>
      <c r="J3230" s="1" t="str">
        <f>HYPERLINK("https://zfin.org/ZDB-GENE-980526-144")</f>
        <v>https://zfin.org/ZDB-GENE-980526-144</v>
      </c>
      <c r="K3230" t="s">
        <v>5818</v>
      </c>
    </row>
    <row r="3231" spans="1:11" x14ac:dyDescent="0.2">
      <c r="A3231">
        <v>2.4118951101620799E-14</v>
      </c>
      <c r="B3231">
        <v>-2.1173299436573401</v>
      </c>
      <c r="C3231">
        <v>0.65200000000000002</v>
      </c>
      <c r="D3231">
        <v>0.78800000000000003</v>
      </c>
      <c r="E3231">
        <v>3.7343371990639598E-10</v>
      </c>
      <c r="F3231">
        <v>13</v>
      </c>
      <c r="G3231" t="s">
        <v>2969</v>
      </c>
      <c r="H3231" t="s">
        <v>2970</v>
      </c>
      <c r="I3231" t="s">
        <v>2969</v>
      </c>
      <c r="J3231" s="1" t="str">
        <f>HYPERLINK("https://zfin.org/ZDB-GENE-070705-532")</f>
        <v>https://zfin.org/ZDB-GENE-070705-532</v>
      </c>
      <c r="K3231" t="s">
        <v>2971</v>
      </c>
    </row>
    <row r="3232" spans="1:11" x14ac:dyDescent="0.2">
      <c r="A3232">
        <v>4.5212160241158502E-14</v>
      </c>
      <c r="B3232">
        <v>0.44589148895165798</v>
      </c>
      <c r="C3232">
        <v>0.33500000000000002</v>
      </c>
      <c r="D3232">
        <v>0.11799999999999999</v>
      </c>
      <c r="E3232">
        <v>7.0001987701385804E-10</v>
      </c>
      <c r="F3232">
        <v>13</v>
      </c>
      <c r="G3232" t="s">
        <v>6336</v>
      </c>
      <c r="H3232" t="s">
        <v>6337</v>
      </c>
      <c r="I3232" t="s">
        <v>6336</v>
      </c>
      <c r="J3232" s="1" t="str">
        <f>HYPERLINK("https://zfin.org/ZDB-GENE-030131-7489")</f>
        <v>https://zfin.org/ZDB-GENE-030131-7489</v>
      </c>
      <c r="K3232" t="s">
        <v>6338</v>
      </c>
    </row>
    <row r="3233" spans="1:11" x14ac:dyDescent="0.2">
      <c r="A3233">
        <v>5.34161225920406E-14</v>
      </c>
      <c r="B3233">
        <v>0.33518280914107002</v>
      </c>
      <c r="C3233">
        <v>0.96299999999999997</v>
      </c>
      <c r="D3233">
        <v>0.90800000000000003</v>
      </c>
      <c r="E3233">
        <v>8.2704182609256397E-10</v>
      </c>
      <c r="F3233">
        <v>13</v>
      </c>
      <c r="G3233" t="s">
        <v>1056</v>
      </c>
      <c r="H3233" t="s">
        <v>1057</v>
      </c>
      <c r="I3233" t="s">
        <v>1056</v>
      </c>
      <c r="J3233" s="1" t="str">
        <f>HYPERLINK("https://zfin.org/ZDB-GENE-040426-2315")</f>
        <v>https://zfin.org/ZDB-GENE-040426-2315</v>
      </c>
      <c r="K3233" t="s">
        <v>1058</v>
      </c>
    </row>
    <row r="3234" spans="1:11" x14ac:dyDescent="0.2">
      <c r="A3234">
        <v>7.0051733374692395E-14</v>
      </c>
      <c r="B3234">
        <v>0.60536644612426604</v>
      </c>
      <c r="C3234">
        <v>0.28000000000000003</v>
      </c>
      <c r="D3234">
        <v>8.7999999999999995E-2</v>
      </c>
      <c r="E3234">
        <v>1.0846109878403599E-9</v>
      </c>
      <c r="F3234">
        <v>13</v>
      </c>
      <c r="G3234" t="s">
        <v>5689</v>
      </c>
      <c r="H3234" t="s">
        <v>5690</v>
      </c>
      <c r="I3234" t="s">
        <v>5689</v>
      </c>
      <c r="J3234" s="1" t="str">
        <f>HYPERLINK("https://zfin.org/ZDB-GENE-980526-249")</f>
        <v>https://zfin.org/ZDB-GENE-980526-249</v>
      </c>
      <c r="K3234" t="s">
        <v>5691</v>
      </c>
    </row>
    <row r="3235" spans="1:11" x14ac:dyDescent="0.2">
      <c r="A3235">
        <v>8.6107591118833398E-14</v>
      </c>
      <c r="B3235">
        <v>0.54771201283294202</v>
      </c>
      <c r="C3235">
        <v>0.54700000000000004</v>
      </c>
      <c r="D3235">
        <v>0.28000000000000003</v>
      </c>
      <c r="E3235">
        <v>1.3332038332928999E-9</v>
      </c>
      <c r="F3235">
        <v>13</v>
      </c>
      <c r="G3235" t="s">
        <v>5846</v>
      </c>
      <c r="H3235" t="s">
        <v>5847</v>
      </c>
      <c r="I3235" t="s">
        <v>5846</v>
      </c>
      <c r="J3235" s="1" t="str">
        <f>HYPERLINK("https://zfin.org/ZDB-GENE-001212-5")</f>
        <v>https://zfin.org/ZDB-GENE-001212-5</v>
      </c>
      <c r="K3235" t="s">
        <v>5848</v>
      </c>
    </row>
    <row r="3236" spans="1:11" x14ac:dyDescent="0.2">
      <c r="A3236">
        <v>1.3607616476805701E-13</v>
      </c>
      <c r="B3236">
        <v>0.45591905372765701</v>
      </c>
      <c r="C3236">
        <v>0.29199999999999998</v>
      </c>
      <c r="D3236">
        <v>9.7000000000000003E-2</v>
      </c>
      <c r="E3236">
        <v>2.1068672591038201E-9</v>
      </c>
      <c r="F3236">
        <v>13</v>
      </c>
      <c r="G3236" t="s">
        <v>6339</v>
      </c>
      <c r="H3236" t="s">
        <v>6340</v>
      </c>
      <c r="I3236" t="s">
        <v>6339</v>
      </c>
      <c r="J3236" s="1" t="str">
        <f>HYPERLINK("https://zfin.org/ZDB-GENE-000125-12")</f>
        <v>https://zfin.org/ZDB-GENE-000125-12</v>
      </c>
      <c r="K3236" t="s">
        <v>6341</v>
      </c>
    </row>
    <row r="3237" spans="1:11" x14ac:dyDescent="0.2">
      <c r="A3237">
        <v>1.7517543015812599E-13</v>
      </c>
      <c r="B3237">
        <v>0.552924261234507</v>
      </c>
      <c r="C3237">
        <v>0.48399999999999999</v>
      </c>
      <c r="D3237">
        <v>0.24</v>
      </c>
      <c r="E3237">
        <v>2.7122411851382698E-9</v>
      </c>
      <c r="F3237">
        <v>13</v>
      </c>
      <c r="G3237" t="s">
        <v>6342</v>
      </c>
      <c r="H3237" t="s">
        <v>6343</v>
      </c>
      <c r="I3237" t="s">
        <v>6342</v>
      </c>
      <c r="J3237" s="1" t="str">
        <f>HYPERLINK("https://zfin.org/ZDB-GENE-040426-2518")</f>
        <v>https://zfin.org/ZDB-GENE-040426-2518</v>
      </c>
      <c r="K3237" t="s">
        <v>6344</v>
      </c>
    </row>
    <row r="3238" spans="1:11" x14ac:dyDescent="0.2">
      <c r="A3238">
        <v>9.8608295626462497E-13</v>
      </c>
      <c r="B3238">
        <v>0.336140451303233</v>
      </c>
      <c r="C3238">
        <v>0.98099999999999998</v>
      </c>
      <c r="D3238">
        <v>0.93300000000000005</v>
      </c>
      <c r="E3238">
        <v>1.5267522411845201E-8</v>
      </c>
      <c r="F3238">
        <v>13</v>
      </c>
      <c r="G3238" t="s">
        <v>1162</v>
      </c>
      <c r="H3238" t="s">
        <v>1163</v>
      </c>
      <c r="I3238" t="s">
        <v>1162</v>
      </c>
      <c r="J3238" s="1" t="str">
        <f>HYPERLINK("https://zfin.org/ZDB-GENE-011210-2")</f>
        <v>https://zfin.org/ZDB-GENE-011210-2</v>
      </c>
      <c r="K3238" t="s">
        <v>1164</v>
      </c>
    </row>
    <row r="3239" spans="1:11" x14ac:dyDescent="0.2">
      <c r="A3239">
        <v>1.62970121660052E-12</v>
      </c>
      <c r="B3239">
        <v>0.298944985100283</v>
      </c>
      <c r="C3239">
        <v>0.161</v>
      </c>
      <c r="D3239">
        <v>3.5000000000000003E-2</v>
      </c>
      <c r="E3239">
        <v>2.5232663936625799E-8</v>
      </c>
      <c r="F3239">
        <v>13</v>
      </c>
      <c r="G3239" t="s">
        <v>6345</v>
      </c>
      <c r="H3239" t="s">
        <v>6346</v>
      </c>
      <c r="I3239" t="s">
        <v>6345</v>
      </c>
      <c r="J3239" s="1" t="str">
        <f>HYPERLINK("https://zfin.org/ZDB-GENE-030131-1175")</f>
        <v>https://zfin.org/ZDB-GENE-030131-1175</v>
      </c>
      <c r="K3239" t="s">
        <v>6347</v>
      </c>
    </row>
    <row r="3240" spans="1:11" x14ac:dyDescent="0.2">
      <c r="A3240">
        <v>3.5925027287374999E-12</v>
      </c>
      <c r="B3240">
        <v>0.46850498112810701</v>
      </c>
      <c r="C3240">
        <v>0.73299999999999998</v>
      </c>
      <c r="D3240">
        <v>0.51900000000000002</v>
      </c>
      <c r="E3240">
        <v>5.5622719749042698E-8</v>
      </c>
      <c r="F3240">
        <v>13</v>
      </c>
      <c r="G3240" t="s">
        <v>2090</v>
      </c>
      <c r="H3240" t="s">
        <v>2091</v>
      </c>
      <c r="I3240" t="s">
        <v>2090</v>
      </c>
      <c r="J3240" s="1" t="str">
        <f>HYPERLINK("https://zfin.org/ZDB-GENE-030131-8541")</f>
        <v>https://zfin.org/ZDB-GENE-030131-8541</v>
      </c>
      <c r="K3240" t="s">
        <v>2092</v>
      </c>
    </row>
    <row r="3241" spans="1:11" x14ac:dyDescent="0.2">
      <c r="A3241">
        <v>4.7604161581830403E-12</v>
      </c>
      <c r="B3241">
        <v>-1.0328329162916601</v>
      </c>
      <c r="C3241">
        <v>6.2E-2</v>
      </c>
      <c r="D3241">
        <v>0.317</v>
      </c>
      <c r="E3241">
        <v>7.3705523377147999E-8</v>
      </c>
      <c r="F3241">
        <v>13</v>
      </c>
      <c r="G3241" t="s">
        <v>5867</v>
      </c>
      <c r="H3241" t="s">
        <v>5868</v>
      </c>
      <c r="I3241" t="s">
        <v>5867</v>
      </c>
      <c r="J3241" s="1" t="str">
        <f>HYPERLINK("https://zfin.org/")</f>
        <v>https://zfin.org/</v>
      </c>
    </row>
    <row r="3242" spans="1:11" x14ac:dyDescent="0.2">
      <c r="A3242">
        <v>6.0250963253256399E-12</v>
      </c>
      <c r="B3242">
        <v>-0.53725434156723495</v>
      </c>
      <c r="C3242">
        <v>0.752</v>
      </c>
      <c r="D3242">
        <v>0.84699999999999998</v>
      </c>
      <c r="E3242">
        <v>9.3286566405016898E-8</v>
      </c>
      <c r="F3242">
        <v>13</v>
      </c>
      <c r="G3242" t="s">
        <v>3389</v>
      </c>
      <c r="H3242" t="s">
        <v>3390</v>
      </c>
      <c r="I3242" t="s">
        <v>3389</v>
      </c>
      <c r="J3242" s="1" t="str">
        <f>HYPERLINK("https://zfin.org/ZDB-GENE-030131-8625")</f>
        <v>https://zfin.org/ZDB-GENE-030131-8625</v>
      </c>
      <c r="K3242" t="s">
        <v>3391</v>
      </c>
    </row>
    <row r="3243" spans="1:11" x14ac:dyDescent="0.2">
      <c r="A3243">
        <v>7.9720517727215297E-12</v>
      </c>
      <c r="B3243">
        <v>-0.95227473217421399</v>
      </c>
      <c r="C3243">
        <v>8.1000000000000003E-2</v>
      </c>
      <c r="D3243">
        <v>0.33500000000000002</v>
      </c>
      <c r="E3243">
        <v>1.2343127759704699E-7</v>
      </c>
      <c r="F3243">
        <v>13</v>
      </c>
      <c r="G3243" t="s">
        <v>1321</v>
      </c>
      <c r="H3243" t="s">
        <v>1322</v>
      </c>
      <c r="I3243" t="s">
        <v>1321</v>
      </c>
      <c r="J3243" s="1" t="str">
        <f>HYPERLINK("https://zfin.org/ZDB-GENE-040801-218")</f>
        <v>https://zfin.org/ZDB-GENE-040801-218</v>
      </c>
      <c r="K3243" t="s">
        <v>1323</v>
      </c>
    </row>
    <row r="3244" spans="1:11" x14ac:dyDescent="0.2">
      <c r="A3244">
        <v>1.0112864512006E-11</v>
      </c>
      <c r="B3244">
        <v>0.48978924710549399</v>
      </c>
      <c r="C3244">
        <v>0.54700000000000004</v>
      </c>
      <c r="D3244">
        <v>0.307</v>
      </c>
      <c r="E3244">
        <v>1.5657748123938899E-7</v>
      </c>
      <c r="F3244">
        <v>13</v>
      </c>
      <c r="G3244" t="s">
        <v>6348</v>
      </c>
      <c r="H3244" t="s">
        <v>6349</v>
      </c>
      <c r="I3244" t="s">
        <v>6348</v>
      </c>
      <c r="J3244" s="1" t="str">
        <f>HYPERLINK("https://zfin.org/ZDB-GENE-050913-47")</f>
        <v>https://zfin.org/ZDB-GENE-050913-47</v>
      </c>
      <c r="K3244" t="s">
        <v>6350</v>
      </c>
    </row>
    <row r="3245" spans="1:11" x14ac:dyDescent="0.2">
      <c r="A3245">
        <v>1.01369088425953E-11</v>
      </c>
      <c r="B3245">
        <v>0.479772855541239</v>
      </c>
      <c r="C3245">
        <v>0.75800000000000001</v>
      </c>
      <c r="D3245">
        <v>0.57599999999999996</v>
      </c>
      <c r="E3245">
        <v>1.5694975960990201E-7</v>
      </c>
      <c r="F3245">
        <v>13</v>
      </c>
      <c r="G3245" t="s">
        <v>6351</v>
      </c>
      <c r="H3245" t="s">
        <v>6352</v>
      </c>
      <c r="I3245" t="s">
        <v>6351</v>
      </c>
      <c r="J3245" s="1" t="str">
        <f>HYPERLINK("https://zfin.org/ZDB-GENE-030131-9784")</f>
        <v>https://zfin.org/ZDB-GENE-030131-9784</v>
      </c>
      <c r="K3245" t="s">
        <v>6353</v>
      </c>
    </row>
    <row r="3246" spans="1:11" x14ac:dyDescent="0.2">
      <c r="A3246">
        <v>1.4007666308752601E-11</v>
      </c>
      <c r="B3246">
        <v>0.37896208091012601</v>
      </c>
      <c r="C3246">
        <v>0.94399999999999995</v>
      </c>
      <c r="D3246">
        <v>0.86099999999999999</v>
      </c>
      <c r="E3246">
        <v>2.1688069745841601E-7</v>
      </c>
      <c r="F3246">
        <v>13</v>
      </c>
      <c r="G3246" t="s">
        <v>1685</v>
      </c>
      <c r="H3246" t="s">
        <v>1686</v>
      </c>
      <c r="I3246" t="s">
        <v>1685</v>
      </c>
      <c r="J3246" s="1" t="str">
        <f>HYPERLINK("https://zfin.org/ZDB-GENE-031001-11")</f>
        <v>https://zfin.org/ZDB-GENE-031001-11</v>
      </c>
      <c r="K3246" t="s">
        <v>1687</v>
      </c>
    </row>
    <row r="3247" spans="1:11" x14ac:dyDescent="0.2">
      <c r="A3247">
        <v>2.61754998654846E-11</v>
      </c>
      <c r="B3247">
        <v>0.49200160958225198</v>
      </c>
      <c r="C3247">
        <v>0.59599999999999997</v>
      </c>
      <c r="D3247">
        <v>0.35399999999999998</v>
      </c>
      <c r="E3247">
        <v>4.0527526441729799E-7</v>
      </c>
      <c r="F3247">
        <v>13</v>
      </c>
      <c r="G3247" t="s">
        <v>3203</v>
      </c>
      <c r="H3247" t="s">
        <v>3204</v>
      </c>
      <c r="I3247" t="s">
        <v>3203</v>
      </c>
      <c r="J3247" s="1" t="str">
        <f>HYPERLINK("https://zfin.org/ZDB-GENE-030131-5344")</f>
        <v>https://zfin.org/ZDB-GENE-030131-5344</v>
      </c>
      <c r="K3247" t="s">
        <v>3205</v>
      </c>
    </row>
    <row r="3248" spans="1:11" x14ac:dyDescent="0.2">
      <c r="A3248">
        <v>4.4154317979193198E-11</v>
      </c>
      <c r="B3248">
        <v>0.52095294855420704</v>
      </c>
      <c r="C3248">
        <v>0.23</v>
      </c>
      <c r="D3248">
        <v>7.3999999999999996E-2</v>
      </c>
      <c r="E3248">
        <v>6.83641305271849E-7</v>
      </c>
      <c r="F3248">
        <v>13</v>
      </c>
      <c r="G3248" t="s">
        <v>6354</v>
      </c>
      <c r="H3248" t="s">
        <v>6355</v>
      </c>
      <c r="I3248" t="s">
        <v>6354</v>
      </c>
      <c r="J3248" s="1" t="str">
        <f>HYPERLINK("https://zfin.org/ZDB-GENE-040704-63")</f>
        <v>https://zfin.org/ZDB-GENE-040704-63</v>
      </c>
      <c r="K3248" t="s">
        <v>6356</v>
      </c>
    </row>
    <row r="3249" spans="1:11" x14ac:dyDescent="0.2">
      <c r="A3249">
        <v>7.0264925067259895E-11</v>
      </c>
      <c r="B3249">
        <v>-0.94551576372954604</v>
      </c>
      <c r="C3249">
        <v>0.317</v>
      </c>
      <c r="D3249">
        <v>0.53800000000000003</v>
      </c>
      <c r="E3249">
        <v>1.08791183481638E-6</v>
      </c>
      <c r="F3249">
        <v>13</v>
      </c>
      <c r="G3249" t="s">
        <v>3086</v>
      </c>
      <c r="H3249" t="s">
        <v>3087</v>
      </c>
      <c r="I3249" t="s">
        <v>3086</v>
      </c>
      <c r="J3249" s="1" t="str">
        <f>HYPERLINK("https://zfin.org/ZDB-GENE-030131-247")</f>
        <v>https://zfin.org/ZDB-GENE-030131-247</v>
      </c>
      <c r="K3249" t="s">
        <v>3088</v>
      </c>
    </row>
    <row r="3250" spans="1:11" x14ac:dyDescent="0.2">
      <c r="A3250">
        <v>7.0583752603113202E-11</v>
      </c>
      <c r="B3250">
        <v>0.53849829489991496</v>
      </c>
      <c r="C3250">
        <v>0.503</v>
      </c>
      <c r="D3250">
        <v>0.27700000000000002</v>
      </c>
      <c r="E3250">
        <v>1.0928482415539999E-6</v>
      </c>
      <c r="F3250">
        <v>13</v>
      </c>
      <c r="G3250" t="s">
        <v>6357</v>
      </c>
      <c r="H3250" t="s">
        <v>6358</v>
      </c>
      <c r="I3250" t="s">
        <v>6357</v>
      </c>
      <c r="J3250" s="1" t="str">
        <f>HYPERLINK("https://zfin.org/ZDB-GENE-081105-74")</f>
        <v>https://zfin.org/ZDB-GENE-081105-74</v>
      </c>
      <c r="K3250" t="s">
        <v>6359</v>
      </c>
    </row>
    <row r="3251" spans="1:11" x14ac:dyDescent="0.2">
      <c r="A3251">
        <v>9.8763309269294704E-11</v>
      </c>
      <c r="B3251">
        <v>0.48837724982369002</v>
      </c>
      <c r="C3251">
        <v>0.64600000000000002</v>
      </c>
      <c r="D3251">
        <v>0.41099999999999998</v>
      </c>
      <c r="E3251">
        <v>1.52915231741649E-6</v>
      </c>
      <c r="F3251">
        <v>13</v>
      </c>
      <c r="G3251" t="s">
        <v>3176</v>
      </c>
      <c r="H3251" t="s">
        <v>3177</v>
      </c>
      <c r="I3251" t="s">
        <v>3176</v>
      </c>
      <c r="J3251" s="1" t="str">
        <f>HYPERLINK("https://zfin.org/ZDB-GENE-990415-38")</f>
        <v>https://zfin.org/ZDB-GENE-990415-38</v>
      </c>
      <c r="K3251" t="s">
        <v>3178</v>
      </c>
    </row>
    <row r="3252" spans="1:11" x14ac:dyDescent="0.2">
      <c r="A3252">
        <v>1.0093838100345301E-10</v>
      </c>
      <c r="B3252">
        <v>0.57452301650881099</v>
      </c>
      <c r="C3252">
        <v>0.44700000000000001</v>
      </c>
      <c r="D3252">
        <v>0.22</v>
      </c>
      <c r="E3252">
        <v>1.56282895307646E-6</v>
      </c>
      <c r="F3252">
        <v>13</v>
      </c>
      <c r="G3252" t="s">
        <v>6360</v>
      </c>
      <c r="H3252" t="s">
        <v>6361</v>
      </c>
      <c r="I3252" t="s">
        <v>6360</v>
      </c>
      <c r="J3252" s="1" t="str">
        <f>HYPERLINK("https://zfin.org/ZDB-GENE-091204-265")</f>
        <v>https://zfin.org/ZDB-GENE-091204-265</v>
      </c>
      <c r="K3252" t="s">
        <v>6362</v>
      </c>
    </row>
    <row r="3253" spans="1:11" x14ac:dyDescent="0.2">
      <c r="A3253">
        <v>1.2774494373568899E-10</v>
      </c>
      <c r="B3253">
        <v>0.437630155577933</v>
      </c>
      <c r="C3253">
        <v>0.30399999999999999</v>
      </c>
      <c r="D3253">
        <v>0.121</v>
      </c>
      <c r="E3253">
        <v>1.9778749638596699E-6</v>
      </c>
      <c r="F3253">
        <v>13</v>
      </c>
      <c r="G3253" t="s">
        <v>6363</v>
      </c>
      <c r="H3253" t="s">
        <v>6364</v>
      </c>
      <c r="I3253" t="s">
        <v>6363</v>
      </c>
      <c r="J3253" s="1" t="str">
        <f>HYPERLINK("https://zfin.org/ZDB-GENE-081107-62")</f>
        <v>https://zfin.org/ZDB-GENE-081107-62</v>
      </c>
      <c r="K3253" t="s">
        <v>6365</v>
      </c>
    </row>
    <row r="3254" spans="1:11" x14ac:dyDescent="0.2">
      <c r="A3254">
        <v>1.6568959464096399E-10</v>
      </c>
      <c r="B3254">
        <v>-0.70276220773160702</v>
      </c>
      <c r="C3254">
        <v>0.81399999999999995</v>
      </c>
      <c r="D3254">
        <v>0.88200000000000001</v>
      </c>
      <c r="E3254">
        <v>2.5653719938260498E-6</v>
      </c>
      <c r="F3254">
        <v>13</v>
      </c>
      <c r="G3254" t="s">
        <v>4543</v>
      </c>
      <c r="H3254" t="s">
        <v>4544</v>
      </c>
      <c r="I3254" t="s">
        <v>4543</v>
      </c>
      <c r="J3254" s="1" t="str">
        <f>HYPERLINK("https://zfin.org/ZDB-GENE-051120-126")</f>
        <v>https://zfin.org/ZDB-GENE-051120-126</v>
      </c>
      <c r="K3254" t="s">
        <v>4545</v>
      </c>
    </row>
    <row r="3255" spans="1:11" x14ac:dyDescent="0.2">
      <c r="A3255">
        <v>1.66928029030381E-10</v>
      </c>
      <c r="B3255">
        <v>-1.0843831261622501</v>
      </c>
      <c r="C3255">
        <v>0.28000000000000003</v>
      </c>
      <c r="D3255">
        <v>0.51300000000000001</v>
      </c>
      <c r="E3255">
        <v>2.5845466734773901E-6</v>
      </c>
      <c r="F3255">
        <v>13</v>
      </c>
      <c r="G3255" t="s">
        <v>5330</v>
      </c>
      <c r="H3255" t="s">
        <v>5331</v>
      </c>
      <c r="I3255" t="s">
        <v>5330</v>
      </c>
      <c r="J3255" s="1" t="str">
        <f>HYPERLINK("https://zfin.org/ZDB-GENE-080917-47")</f>
        <v>https://zfin.org/ZDB-GENE-080917-47</v>
      </c>
      <c r="K3255" t="s">
        <v>5332</v>
      </c>
    </row>
    <row r="3256" spans="1:11" x14ac:dyDescent="0.2">
      <c r="A3256">
        <v>2.4460045542011999E-10</v>
      </c>
      <c r="B3256">
        <v>0.45048817037338101</v>
      </c>
      <c r="C3256">
        <v>0.46600000000000003</v>
      </c>
      <c r="D3256">
        <v>0.246</v>
      </c>
      <c r="E3256">
        <v>3.7871488512697198E-6</v>
      </c>
      <c r="F3256">
        <v>13</v>
      </c>
      <c r="G3256" t="s">
        <v>6366</v>
      </c>
      <c r="H3256" t="s">
        <v>6367</v>
      </c>
      <c r="I3256" t="s">
        <v>6366</v>
      </c>
      <c r="J3256" s="1" t="str">
        <f>HYPERLINK("https://zfin.org/ZDB-GENE-131121-599")</f>
        <v>https://zfin.org/ZDB-GENE-131121-599</v>
      </c>
      <c r="K3256" t="s">
        <v>6368</v>
      </c>
    </row>
    <row r="3257" spans="1:11" x14ac:dyDescent="0.2">
      <c r="A3257">
        <v>2.9872008245791701E-10</v>
      </c>
      <c r="B3257">
        <v>0.43106596505499001</v>
      </c>
      <c r="C3257">
        <v>0.29799999999999999</v>
      </c>
      <c r="D3257">
        <v>0.11899999999999999</v>
      </c>
      <c r="E3257">
        <v>4.6250830366959399E-6</v>
      </c>
      <c r="F3257">
        <v>13</v>
      </c>
      <c r="G3257" t="s">
        <v>6369</v>
      </c>
      <c r="H3257" t="s">
        <v>6370</v>
      </c>
      <c r="I3257" t="s">
        <v>6369</v>
      </c>
      <c r="J3257" s="1" t="str">
        <f>HYPERLINK("https://zfin.org/ZDB-GENE-060524-4")</f>
        <v>https://zfin.org/ZDB-GENE-060524-4</v>
      </c>
      <c r="K3257" t="s">
        <v>6371</v>
      </c>
    </row>
    <row r="3258" spans="1:11" x14ac:dyDescent="0.2">
      <c r="A3258">
        <v>3.0312437995668402E-10</v>
      </c>
      <c r="B3258">
        <v>-0.79134522055445999</v>
      </c>
      <c r="C3258">
        <v>2.5000000000000001E-2</v>
      </c>
      <c r="D3258">
        <v>0.24099999999999999</v>
      </c>
      <c r="E3258">
        <v>4.6932747748693402E-6</v>
      </c>
      <c r="F3258">
        <v>13</v>
      </c>
      <c r="G3258" t="s">
        <v>6005</v>
      </c>
      <c r="H3258" t="s">
        <v>6006</v>
      </c>
      <c r="I3258" t="s">
        <v>6005</v>
      </c>
      <c r="J3258" s="1" t="str">
        <f>HYPERLINK("https://zfin.org/ZDB-GENE-040718-440")</f>
        <v>https://zfin.org/ZDB-GENE-040718-440</v>
      </c>
      <c r="K3258" t="s">
        <v>6007</v>
      </c>
    </row>
    <row r="3259" spans="1:11" x14ac:dyDescent="0.2">
      <c r="A3259">
        <v>3.2123326859840601E-10</v>
      </c>
      <c r="B3259">
        <v>0.33572393450001797</v>
      </c>
      <c r="C3259">
        <v>0.19900000000000001</v>
      </c>
      <c r="D3259">
        <v>6.0999999999999999E-2</v>
      </c>
      <c r="E3259">
        <v>4.9736546977091197E-6</v>
      </c>
      <c r="F3259">
        <v>13</v>
      </c>
      <c r="G3259" t="s">
        <v>6372</v>
      </c>
      <c r="H3259" t="s">
        <v>6373</v>
      </c>
      <c r="I3259" t="s">
        <v>6372</v>
      </c>
      <c r="J3259" s="1" t="str">
        <f>HYPERLINK("https://zfin.org/ZDB-GENE-030131-3101")</f>
        <v>https://zfin.org/ZDB-GENE-030131-3101</v>
      </c>
      <c r="K3259" t="s">
        <v>6374</v>
      </c>
    </row>
    <row r="3260" spans="1:11" x14ac:dyDescent="0.2">
      <c r="A3260">
        <v>3.6243247955959699E-10</v>
      </c>
      <c r="B3260">
        <v>0.53428765994871397</v>
      </c>
      <c r="C3260">
        <v>0.19900000000000001</v>
      </c>
      <c r="D3260">
        <v>6.2E-2</v>
      </c>
      <c r="E3260">
        <v>5.6115420810212301E-6</v>
      </c>
      <c r="F3260">
        <v>13</v>
      </c>
      <c r="G3260" t="s">
        <v>6375</v>
      </c>
      <c r="H3260" t="s">
        <v>6376</v>
      </c>
      <c r="I3260" t="s">
        <v>6375</v>
      </c>
      <c r="J3260" s="1" t="str">
        <f>HYPERLINK("https://zfin.org/ZDB-GENE-020102-1")</f>
        <v>https://zfin.org/ZDB-GENE-020102-1</v>
      </c>
      <c r="K3260" t="s">
        <v>6377</v>
      </c>
    </row>
    <row r="3261" spans="1:11" x14ac:dyDescent="0.2">
      <c r="A3261">
        <v>3.7686937996093297E-10</v>
      </c>
      <c r="B3261">
        <v>0.39306739168742699</v>
      </c>
      <c r="C3261">
        <v>0.67700000000000005</v>
      </c>
      <c r="D3261">
        <v>0.42599999999999999</v>
      </c>
      <c r="E3261">
        <v>5.8350686099351297E-6</v>
      </c>
      <c r="F3261">
        <v>13</v>
      </c>
      <c r="G3261" t="s">
        <v>3326</v>
      </c>
      <c r="H3261" t="s">
        <v>3327</v>
      </c>
      <c r="I3261" t="s">
        <v>3326</v>
      </c>
      <c r="J3261" s="1" t="str">
        <f>HYPERLINK("https://zfin.org/ZDB-GENE-080829-12")</f>
        <v>https://zfin.org/ZDB-GENE-080829-12</v>
      </c>
      <c r="K3261" t="s">
        <v>3328</v>
      </c>
    </row>
    <row r="3262" spans="1:11" x14ac:dyDescent="0.2">
      <c r="A3262">
        <v>4.2211322285921201E-10</v>
      </c>
      <c r="B3262">
        <v>0.326916359767423</v>
      </c>
      <c r="C3262">
        <v>0.14299999999999999</v>
      </c>
      <c r="D3262">
        <v>3.5000000000000003E-2</v>
      </c>
      <c r="E3262">
        <v>6.5355790295291701E-6</v>
      </c>
      <c r="F3262">
        <v>13</v>
      </c>
      <c r="G3262" t="s">
        <v>6378</v>
      </c>
      <c r="H3262" t="s">
        <v>6379</v>
      </c>
      <c r="I3262" t="s">
        <v>6378</v>
      </c>
      <c r="J3262" s="1" t="str">
        <f>HYPERLINK("https://zfin.org/ZDB-GENE-090313-40")</f>
        <v>https://zfin.org/ZDB-GENE-090313-40</v>
      </c>
      <c r="K3262" t="s">
        <v>6380</v>
      </c>
    </row>
    <row r="3263" spans="1:11" x14ac:dyDescent="0.2">
      <c r="A3263">
        <v>4.9927662195614597E-10</v>
      </c>
      <c r="B3263">
        <v>0.25346817683481399</v>
      </c>
      <c r="C3263">
        <v>1</v>
      </c>
      <c r="D3263">
        <v>0.99099999999999999</v>
      </c>
      <c r="E3263">
        <v>7.7302999377470098E-6</v>
      </c>
      <c r="F3263">
        <v>13</v>
      </c>
      <c r="G3263" t="s">
        <v>854</v>
      </c>
      <c r="H3263" t="s">
        <v>855</v>
      </c>
      <c r="I3263" t="s">
        <v>854</v>
      </c>
      <c r="J3263" s="1" t="str">
        <f>HYPERLINK("https://zfin.org/ZDB-GENE-061201-9")</f>
        <v>https://zfin.org/ZDB-GENE-061201-9</v>
      </c>
      <c r="K3263" t="s">
        <v>856</v>
      </c>
    </row>
    <row r="3264" spans="1:11" x14ac:dyDescent="0.2">
      <c r="A3264">
        <v>5.1308051160078396E-10</v>
      </c>
      <c r="B3264">
        <v>0.43474997986105102</v>
      </c>
      <c r="C3264">
        <v>0.63400000000000001</v>
      </c>
      <c r="D3264">
        <v>0.438</v>
      </c>
      <c r="E3264">
        <v>7.9440255611149402E-6</v>
      </c>
      <c r="F3264">
        <v>13</v>
      </c>
      <c r="G3264" t="s">
        <v>6381</v>
      </c>
      <c r="H3264" t="s">
        <v>6382</v>
      </c>
      <c r="I3264" t="s">
        <v>6381</v>
      </c>
      <c r="J3264" s="1" t="str">
        <f>HYPERLINK("https://zfin.org/ZDB-GENE-030131-8370")</f>
        <v>https://zfin.org/ZDB-GENE-030131-8370</v>
      </c>
      <c r="K3264" t="s">
        <v>6383</v>
      </c>
    </row>
    <row r="3265" spans="1:11" x14ac:dyDescent="0.2">
      <c r="A3265">
        <v>5.1595411842428495E-10</v>
      </c>
      <c r="B3265">
        <v>0.62236960905084504</v>
      </c>
      <c r="C3265">
        <v>0.70799999999999996</v>
      </c>
      <c r="D3265">
        <v>0.502</v>
      </c>
      <c r="E3265">
        <v>7.9885176155632099E-6</v>
      </c>
      <c r="F3265">
        <v>13</v>
      </c>
      <c r="G3265" t="s">
        <v>5961</v>
      </c>
      <c r="H3265" t="s">
        <v>5962</v>
      </c>
      <c r="I3265" t="s">
        <v>5961</v>
      </c>
      <c r="J3265" s="1" t="str">
        <f>HYPERLINK("https://zfin.org/ZDB-GENE-070424-74")</f>
        <v>https://zfin.org/ZDB-GENE-070424-74</v>
      </c>
      <c r="K3265" t="s">
        <v>5963</v>
      </c>
    </row>
    <row r="3266" spans="1:11" x14ac:dyDescent="0.2">
      <c r="A3266">
        <v>5.3314217529874905E-10</v>
      </c>
      <c r="B3266">
        <v>0.48596876043626103</v>
      </c>
      <c r="C3266">
        <v>0.49099999999999999</v>
      </c>
      <c r="D3266">
        <v>0.28199999999999997</v>
      </c>
      <c r="E3266">
        <v>8.2546403001505294E-6</v>
      </c>
      <c r="F3266">
        <v>13</v>
      </c>
      <c r="G3266" t="s">
        <v>6384</v>
      </c>
      <c r="H3266" t="s">
        <v>6385</v>
      </c>
      <c r="I3266" t="s">
        <v>6384</v>
      </c>
      <c r="J3266" s="1" t="str">
        <f>HYPERLINK("https://zfin.org/ZDB-GENE-051120-147")</f>
        <v>https://zfin.org/ZDB-GENE-051120-147</v>
      </c>
      <c r="K3266" t="s">
        <v>6386</v>
      </c>
    </row>
    <row r="3267" spans="1:11" x14ac:dyDescent="0.2">
      <c r="A3267">
        <v>5.5784489111028501E-10</v>
      </c>
      <c r="B3267">
        <v>0.41577754251075999</v>
      </c>
      <c r="C3267">
        <v>0.40400000000000003</v>
      </c>
      <c r="D3267">
        <v>0.19500000000000001</v>
      </c>
      <c r="E3267">
        <v>8.6371124490605396E-6</v>
      </c>
      <c r="F3267">
        <v>13</v>
      </c>
      <c r="G3267" t="s">
        <v>6387</v>
      </c>
      <c r="H3267" t="s">
        <v>6388</v>
      </c>
      <c r="I3267" t="s">
        <v>6387</v>
      </c>
      <c r="J3267" s="1" t="str">
        <f>HYPERLINK("https://zfin.org/ZDB-GENE-041212-69")</f>
        <v>https://zfin.org/ZDB-GENE-041212-69</v>
      </c>
      <c r="K3267" t="s">
        <v>6389</v>
      </c>
    </row>
    <row r="3268" spans="1:11" x14ac:dyDescent="0.2">
      <c r="A3268">
        <v>6.2086455108621105E-10</v>
      </c>
      <c r="B3268">
        <v>0.27654808950072801</v>
      </c>
      <c r="C3268">
        <v>0.93799999999999994</v>
      </c>
      <c r="D3268">
        <v>0.84199999999999997</v>
      </c>
      <c r="E3268">
        <v>9.6128458444677997E-6</v>
      </c>
      <c r="F3268">
        <v>13</v>
      </c>
      <c r="G3268" t="s">
        <v>1222</v>
      </c>
      <c r="H3268" t="s">
        <v>1223</v>
      </c>
      <c r="I3268" t="s">
        <v>1222</v>
      </c>
      <c r="J3268" s="1" t="str">
        <f>HYPERLINK("https://zfin.org/ZDB-GENE-060316-3")</f>
        <v>https://zfin.org/ZDB-GENE-060316-3</v>
      </c>
      <c r="K3268" t="s">
        <v>1224</v>
      </c>
    </row>
    <row r="3269" spans="1:11" x14ac:dyDescent="0.2">
      <c r="A3269">
        <v>9.5084140826241497E-10</v>
      </c>
      <c r="B3269">
        <v>0.41275707167769299</v>
      </c>
      <c r="C3269">
        <v>0.78300000000000003</v>
      </c>
      <c r="D3269">
        <v>0.57699999999999996</v>
      </c>
      <c r="E3269">
        <v>1.4721877524127001E-5</v>
      </c>
      <c r="F3269">
        <v>13</v>
      </c>
      <c r="G3269" t="s">
        <v>3383</v>
      </c>
      <c r="H3269" t="s">
        <v>3384</v>
      </c>
      <c r="I3269" t="s">
        <v>3383</v>
      </c>
      <c r="J3269" s="1" t="str">
        <f>HYPERLINK("https://zfin.org/ZDB-GENE-030131-4042")</f>
        <v>https://zfin.org/ZDB-GENE-030131-4042</v>
      </c>
      <c r="K3269" t="s">
        <v>3385</v>
      </c>
    </row>
    <row r="3270" spans="1:11" x14ac:dyDescent="0.2">
      <c r="A3270">
        <v>1.0125879544885001E-9</v>
      </c>
      <c r="B3270">
        <v>0.36370006076765798</v>
      </c>
      <c r="C3270">
        <v>0.82599999999999996</v>
      </c>
      <c r="D3270">
        <v>0.63700000000000001</v>
      </c>
      <c r="E3270">
        <v>1.5677899299345501E-5</v>
      </c>
      <c r="F3270">
        <v>13</v>
      </c>
      <c r="G3270" t="s">
        <v>2374</v>
      </c>
      <c r="H3270" t="s">
        <v>2375</v>
      </c>
      <c r="I3270" t="s">
        <v>2374</v>
      </c>
      <c r="J3270" s="1" t="str">
        <f>HYPERLINK("https://zfin.org/ZDB-GENE-040426-2770")</f>
        <v>https://zfin.org/ZDB-GENE-040426-2770</v>
      </c>
      <c r="K3270" t="s">
        <v>2376</v>
      </c>
    </row>
    <row r="3271" spans="1:11" x14ac:dyDescent="0.2">
      <c r="A3271">
        <v>1.0966302759694799E-9</v>
      </c>
      <c r="B3271">
        <v>0.39319181923934798</v>
      </c>
      <c r="C3271">
        <v>0.38500000000000001</v>
      </c>
      <c r="D3271">
        <v>0.184</v>
      </c>
      <c r="E3271">
        <v>1.6979126562835398E-5</v>
      </c>
      <c r="F3271">
        <v>13</v>
      </c>
      <c r="G3271" t="s">
        <v>6390</v>
      </c>
      <c r="H3271" t="s">
        <v>6391</v>
      </c>
      <c r="I3271" t="s">
        <v>6390</v>
      </c>
      <c r="J3271" s="1" t="str">
        <f>HYPERLINK("https://zfin.org/ZDB-GENE-040625-175")</f>
        <v>https://zfin.org/ZDB-GENE-040625-175</v>
      </c>
      <c r="K3271" t="s">
        <v>6392</v>
      </c>
    </row>
    <row r="3272" spans="1:11" x14ac:dyDescent="0.2">
      <c r="A3272">
        <v>1.1074350755787699E-9</v>
      </c>
      <c r="B3272">
        <v>0.32043699488542399</v>
      </c>
      <c r="C3272">
        <v>0.82599999999999996</v>
      </c>
      <c r="D3272">
        <v>0.62</v>
      </c>
      <c r="E3272">
        <v>1.7146417275186201E-5</v>
      </c>
      <c r="F3272">
        <v>13</v>
      </c>
      <c r="G3272" t="s">
        <v>2401</v>
      </c>
      <c r="H3272" t="s">
        <v>2402</v>
      </c>
      <c r="I3272" t="s">
        <v>2401</v>
      </c>
      <c r="J3272" s="1" t="str">
        <f>HYPERLINK("https://zfin.org/ZDB-GENE-071205-8")</f>
        <v>https://zfin.org/ZDB-GENE-071205-8</v>
      </c>
      <c r="K3272" t="s">
        <v>2403</v>
      </c>
    </row>
    <row r="3273" spans="1:11" x14ac:dyDescent="0.2">
      <c r="A3273">
        <v>1.35284611678982E-9</v>
      </c>
      <c r="B3273">
        <v>-1.0558709477620101</v>
      </c>
      <c r="C3273">
        <v>9.9000000000000005E-2</v>
      </c>
      <c r="D3273">
        <v>0.32100000000000001</v>
      </c>
      <c r="E3273">
        <v>2.0946116426256899E-5</v>
      </c>
      <c r="F3273">
        <v>13</v>
      </c>
      <c r="G3273" t="s">
        <v>5136</v>
      </c>
      <c r="H3273" t="s">
        <v>5137</v>
      </c>
      <c r="I3273" t="s">
        <v>5136</v>
      </c>
      <c r="J3273" s="1" t="str">
        <f>HYPERLINK("https://zfin.org/ZDB-GENE-110411-139")</f>
        <v>https://zfin.org/ZDB-GENE-110411-139</v>
      </c>
      <c r="K3273" t="s">
        <v>5138</v>
      </c>
    </row>
    <row r="3274" spans="1:11" x14ac:dyDescent="0.2">
      <c r="A3274">
        <v>1.4892478017744899E-9</v>
      </c>
      <c r="B3274">
        <v>0.42719253894144499</v>
      </c>
      <c r="C3274">
        <v>0.72699999999999998</v>
      </c>
      <c r="D3274">
        <v>0.52600000000000002</v>
      </c>
      <c r="E3274">
        <v>2.3058023714874501E-5</v>
      </c>
      <c r="F3274">
        <v>13</v>
      </c>
      <c r="G3274" t="s">
        <v>2814</v>
      </c>
      <c r="H3274" t="s">
        <v>2815</v>
      </c>
      <c r="I3274" t="s">
        <v>2814</v>
      </c>
      <c r="J3274" s="1" t="str">
        <f>HYPERLINK("https://zfin.org/ZDB-GENE-051023-8")</f>
        <v>https://zfin.org/ZDB-GENE-051023-8</v>
      </c>
      <c r="K3274" t="s">
        <v>2816</v>
      </c>
    </row>
    <row r="3275" spans="1:11" x14ac:dyDescent="0.2">
      <c r="A3275">
        <v>1.5620415419619901E-9</v>
      </c>
      <c r="B3275">
        <v>0.28336816869826498</v>
      </c>
      <c r="C3275">
        <v>1</v>
      </c>
      <c r="D3275">
        <v>1</v>
      </c>
      <c r="E3275">
        <v>2.4185089194197499E-5</v>
      </c>
      <c r="F3275">
        <v>13</v>
      </c>
      <c r="G3275" t="s">
        <v>860</v>
      </c>
      <c r="H3275" t="s">
        <v>861</v>
      </c>
      <c r="I3275" t="s">
        <v>860</v>
      </c>
      <c r="J3275" s="1" t="str">
        <f>HYPERLINK("https://zfin.org/ZDB-GENE-080225-18")</f>
        <v>https://zfin.org/ZDB-GENE-080225-18</v>
      </c>
      <c r="K3275" t="s">
        <v>862</v>
      </c>
    </row>
    <row r="3276" spans="1:11" x14ac:dyDescent="0.2">
      <c r="A3276">
        <v>1.62979268038147E-9</v>
      </c>
      <c r="B3276">
        <v>-0.676630572705754</v>
      </c>
      <c r="C3276">
        <v>0.161</v>
      </c>
      <c r="D3276">
        <v>0.40699999999999997</v>
      </c>
      <c r="E3276">
        <v>2.5234080070346301E-5</v>
      </c>
      <c r="F3276">
        <v>13</v>
      </c>
      <c r="G3276" t="s">
        <v>6393</v>
      </c>
      <c r="H3276" t="s">
        <v>6394</v>
      </c>
      <c r="I3276" t="s">
        <v>6393</v>
      </c>
      <c r="J3276" s="1" t="str">
        <f>HYPERLINK("https://zfin.org/ZDB-GENE-030131-9790")</f>
        <v>https://zfin.org/ZDB-GENE-030131-9790</v>
      </c>
      <c r="K3276" t="s">
        <v>6395</v>
      </c>
    </row>
    <row r="3277" spans="1:11" x14ac:dyDescent="0.2">
      <c r="A3277">
        <v>1.9221195828268399E-9</v>
      </c>
      <c r="B3277">
        <v>-1.63501487124425</v>
      </c>
      <c r="C3277">
        <v>0.53400000000000003</v>
      </c>
      <c r="D3277">
        <v>0.70599999999999996</v>
      </c>
      <c r="E3277">
        <v>2.9760177500908001E-5</v>
      </c>
      <c r="F3277">
        <v>13</v>
      </c>
      <c r="G3277" t="s">
        <v>725</v>
      </c>
      <c r="H3277" t="s">
        <v>726</v>
      </c>
      <c r="I3277" t="s">
        <v>725</v>
      </c>
      <c r="J3277" s="1" t="str">
        <f>HYPERLINK("https://zfin.org/ZDB-GENE-020806-4")</f>
        <v>https://zfin.org/ZDB-GENE-020806-4</v>
      </c>
      <c r="K3277" t="s">
        <v>727</v>
      </c>
    </row>
    <row r="3278" spans="1:11" x14ac:dyDescent="0.2">
      <c r="A3278">
        <v>2.17363496451121E-9</v>
      </c>
      <c r="B3278">
        <v>0.39241501826825198</v>
      </c>
      <c r="C3278">
        <v>0.186</v>
      </c>
      <c r="D3278">
        <v>5.8999999999999997E-2</v>
      </c>
      <c r="E3278">
        <v>3.3654390155527101E-5</v>
      </c>
      <c r="F3278">
        <v>13</v>
      </c>
      <c r="G3278" t="s">
        <v>6396</v>
      </c>
      <c r="H3278" t="s">
        <v>6397</v>
      </c>
      <c r="I3278" t="s">
        <v>6396</v>
      </c>
      <c r="J3278" s="1" t="str">
        <f>HYPERLINK("https://zfin.org/ZDB-GENE-111019-1")</f>
        <v>https://zfin.org/ZDB-GENE-111019-1</v>
      </c>
      <c r="K3278" t="s">
        <v>6398</v>
      </c>
    </row>
    <row r="3279" spans="1:11" x14ac:dyDescent="0.2">
      <c r="A3279">
        <v>2.2026536030815798E-9</v>
      </c>
      <c r="B3279">
        <v>-0.45032344350382703</v>
      </c>
      <c r="C3279">
        <v>0.98099999999999998</v>
      </c>
      <c r="D3279">
        <v>0.97</v>
      </c>
      <c r="E3279">
        <v>3.4103685736512003E-5</v>
      </c>
      <c r="F3279">
        <v>13</v>
      </c>
      <c r="G3279" t="s">
        <v>1092</v>
      </c>
      <c r="H3279" t="s">
        <v>1093</v>
      </c>
      <c r="I3279" t="s">
        <v>1092</v>
      </c>
      <c r="J3279" s="1" t="str">
        <f>HYPERLINK("https://zfin.org/ZDB-GENE-040718-72")</f>
        <v>https://zfin.org/ZDB-GENE-040718-72</v>
      </c>
      <c r="K3279" t="s">
        <v>1094</v>
      </c>
    </row>
    <row r="3280" spans="1:11" x14ac:dyDescent="0.2">
      <c r="A3280">
        <v>2.4757202390373802E-9</v>
      </c>
      <c r="B3280">
        <v>0.39377644382709998</v>
      </c>
      <c r="C3280">
        <v>0.33500000000000002</v>
      </c>
      <c r="D3280">
        <v>0.152</v>
      </c>
      <c r="E3280">
        <v>3.83315764610158E-5</v>
      </c>
      <c r="F3280">
        <v>13</v>
      </c>
      <c r="G3280" t="s">
        <v>5265</v>
      </c>
      <c r="H3280" t="s">
        <v>5266</v>
      </c>
      <c r="I3280" t="s">
        <v>5265</v>
      </c>
      <c r="J3280" s="1" t="str">
        <f>HYPERLINK("https://zfin.org/ZDB-GENE-040420-1")</f>
        <v>https://zfin.org/ZDB-GENE-040420-1</v>
      </c>
      <c r="K3280" t="s">
        <v>5267</v>
      </c>
    </row>
    <row r="3281" spans="1:11" x14ac:dyDescent="0.2">
      <c r="A3281">
        <v>2.5796438325973702E-9</v>
      </c>
      <c r="B3281">
        <v>0.44560203766965001</v>
      </c>
      <c r="C3281">
        <v>0.51600000000000001</v>
      </c>
      <c r="D3281">
        <v>0.30099999999999999</v>
      </c>
      <c r="E3281">
        <v>3.9940625460105E-5</v>
      </c>
      <c r="F3281">
        <v>13</v>
      </c>
      <c r="G3281" t="s">
        <v>6192</v>
      </c>
      <c r="H3281" t="s">
        <v>6193</v>
      </c>
      <c r="I3281" t="s">
        <v>6192</v>
      </c>
      <c r="J3281" s="1" t="str">
        <f>HYPERLINK("https://zfin.org/ZDB-GENE-010412-1")</f>
        <v>https://zfin.org/ZDB-GENE-010412-1</v>
      </c>
      <c r="K3281" t="s">
        <v>6194</v>
      </c>
    </row>
    <row r="3282" spans="1:11" x14ac:dyDescent="0.2">
      <c r="A3282">
        <v>3.1940968746254301E-9</v>
      </c>
      <c r="B3282">
        <v>0.48038029341125899</v>
      </c>
      <c r="C3282">
        <v>0.60199999999999998</v>
      </c>
      <c r="D3282">
        <v>0.38500000000000001</v>
      </c>
      <c r="E3282">
        <v>4.94542019098255E-5</v>
      </c>
      <c r="F3282">
        <v>13</v>
      </c>
      <c r="G3282" t="s">
        <v>6399</v>
      </c>
      <c r="H3282" t="s">
        <v>6400</v>
      </c>
      <c r="I3282" t="s">
        <v>6399</v>
      </c>
      <c r="J3282" s="1" t="str">
        <f>HYPERLINK("https://zfin.org/ZDB-GENE-040901-1")</f>
        <v>https://zfin.org/ZDB-GENE-040901-1</v>
      </c>
      <c r="K3282" t="s">
        <v>6401</v>
      </c>
    </row>
    <row r="3283" spans="1:11" x14ac:dyDescent="0.2">
      <c r="A3283">
        <v>3.7238398262229098E-9</v>
      </c>
      <c r="B3283">
        <v>0.380676102640155</v>
      </c>
      <c r="C3283">
        <v>0.71399999999999997</v>
      </c>
      <c r="D3283">
        <v>0.503</v>
      </c>
      <c r="E3283">
        <v>5.7656212029409301E-5</v>
      </c>
      <c r="F3283">
        <v>13</v>
      </c>
      <c r="G3283" t="s">
        <v>2690</v>
      </c>
      <c r="H3283" t="s">
        <v>2691</v>
      </c>
      <c r="I3283" t="s">
        <v>2690</v>
      </c>
      <c r="J3283" s="1" t="str">
        <f>HYPERLINK("https://zfin.org/ZDB-GENE-110411-217")</f>
        <v>https://zfin.org/ZDB-GENE-110411-217</v>
      </c>
      <c r="K3283" t="s">
        <v>2692</v>
      </c>
    </row>
    <row r="3284" spans="1:11" x14ac:dyDescent="0.2">
      <c r="A3284">
        <v>4.15500991857763E-9</v>
      </c>
      <c r="B3284">
        <v>0.30424354525408398</v>
      </c>
      <c r="C3284">
        <v>0.124</v>
      </c>
      <c r="D3284">
        <v>2.9000000000000001E-2</v>
      </c>
      <c r="E3284">
        <v>6.4332018569337399E-5</v>
      </c>
      <c r="F3284">
        <v>13</v>
      </c>
      <c r="G3284" t="s">
        <v>6402</v>
      </c>
      <c r="H3284" t="s">
        <v>6403</v>
      </c>
      <c r="I3284" t="s">
        <v>6402</v>
      </c>
      <c r="J3284" s="1" t="str">
        <f>HYPERLINK("https://zfin.org/ZDB-GENE-070615-10")</f>
        <v>https://zfin.org/ZDB-GENE-070615-10</v>
      </c>
      <c r="K3284" t="s">
        <v>6404</v>
      </c>
    </row>
    <row r="3285" spans="1:11" x14ac:dyDescent="0.2">
      <c r="A3285">
        <v>4.1555818519811596E-9</v>
      </c>
      <c r="B3285">
        <v>0.44857175838103802</v>
      </c>
      <c r="C3285">
        <v>0.41599999999999998</v>
      </c>
      <c r="D3285">
        <v>0.216</v>
      </c>
      <c r="E3285">
        <v>6.4340873814224304E-5</v>
      </c>
      <c r="F3285">
        <v>13</v>
      </c>
      <c r="G3285" t="s">
        <v>5994</v>
      </c>
      <c r="H3285" t="s">
        <v>5995</v>
      </c>
      <c r="I3285" t="s">
        <v>5994</v>
      </c>
      <c r="J3285" s="1" t="str">
        <f>HYPERLINK("https://zfin.org/ZDB-GENE-011109-2")</f>
        <v>https://zfin.org/ZDB-GENE-011109-2</v>
      </c>
      <c r="K3285" t="s">
        <v>5996</v>
      </c>
    </row>
    <row r="3286" spans="1:11" x14ac:dyDescent="0.2">
      <c r="A3286">
        <v>4.1999745531603797E-9</v>
      </c>
      <c r="B3286">
        <v>0.46344796648720799</v>
      </c>
      <c r="C3286">
        <v>0.34799999999999998</v>
      </c>
      <c r="D3286">
        <v>0.16400000000000001</v>
      </c>
      <c r="E3286">
        <v>6.5028206006582196E-5</v>
      </c>
      <c r="F3286">
        <v>13</v>
      </c>
      <c r="G3286" t="s">
        <v>6405</v>
      </c>
      <c r="H3286" t="s">
        <v>6406</v>
      </c>
      <c r="I3286" t="s">
        <v>6405</v>
      </c>
      <c r="J3286" s="1" t="str">
        <f>HYPERLINK("https://zfin.org/ZDB-GENE-040426-1135")</f>
        <v>https://zfin.org/ZDB-GENE-040426-1135</v>
      </c>
      <c r="K3286" t="s">
        <v>6407</v>
      </c>
    </row>
    <row r="3287" spans="1:11" x14ac:dyDescent="0.2">
      <c r="A3287">
        <v>4.7350714196311304E-9</v>
      </c>
      <c r="B3287">
        <v>0.40945146231746798</v>
      </c>
      <c r="C3287">
        <v>0.60899999999999999</v>
      </c>
      <c r="D3287">
        <v>0.40200000000000002</v>
      </c>
      <c r="E3287">
        <v>7.3313110790148805E-5</v>
      </c>
      <c r="F3287">
        <v>13</v>
      </c>
      <c r="G3287" t="s">
        <v>6408</v>
      </c>
      <c r="H3287" t="s">
        <v>6409</v>
      </c>
      <c r="I3287" t="s">
        <v>6408</v>
      </c>
      <c r="J3287" s="1" t="str">
        <f>HYPERLINK("https://zfin.org/ZDB-GENE-041114-109")</f>
        <v>https://zfin.org/ZDB-GENE-041114-109</v>
      </c>
      <c r="K3287" t="s">
        <v>6410</v>
      </c>
    </row>
    <row r="3288" spans="1:11" x14ac:dyDescent="0.2">
      <c r="A3288">
        <v>6.3892524077702398E-9</v>
      </c>
      <c r="B3288">
        <v>0.30048614069983998</v>
      </c>
      <c r="C3288">
        <v>0.91900000000000004</v>
      </c>
      <c r="D3288">
        <v>0.80700000000000005</v>
      </c>
      <c r="E3288">
        <v>9.8924795029506696E-5</v>
      </c>
      <c r="F3288">
        <v>13</v>
      </c>
      <c r="G3288" t="s">
        <v>1468</v>
      </c>
      <c r="H3288" t="s">
        <v>1469</v>
      </c>
      <c r="I3288" t="s">
        <v>1468</v>
      </c>
      <c r="J3288" s="1" t="str">
        <f>HYPERLINK("https://zfin.org/ZDB-GENE-040426-2768")</f>
        <v>https://zfin.org/ZDB-GENE-040426-2768</v>
      </c>
      <c r="K3288" t="s">
        <v>1470</v>
      </c>
    </row>
    <row r="3289" spans="1:11" x14ac:dyDescent="0.2">
      <c r="A3289">
        <v>6.41714276412179E-9</v>
      </c>
      <c r="B3289">
        <v>0.32818121747277001</v>
      </c>
      <c r="C3289">
        <v>0.124</v>
      </c>
      <c r="D3289">
        <v>0.03</v>
      </c>
      <c r="E3289">
        <v>9.9356621416897705E-5</v>
      </c>
      <c r="F3289">
        <v>13</v>
      </c>
      <c r="G3289" t="s">
        <v>6411</v>
      </c>
      <c r="H3289" t="s">
        <v>6412</v>
      </c>
      <c r="I3289" t="s">
        <v>6411</v>
      </c>
      <c r="J3289" s="1" t="str">
        <f>HYPERLINK("https://zfin.org/ZDB-GENE-000626-1")</f>
        <v>https://zfin.org/ZDB-GENE-000626-1</v>
      </c>
      <c r="K3289" t="s">
        <v>6413</v>
      </c>
    </row>
    <row r="3290" spans="1:11" x14ac:dyDescent="0.2">
      <c r="A3290">
        <v>1.7568763721831301E-24</v>
      </c>
      <c r="B3290">
        <v>0.98600268308753902</v>
      </c>
      <c r="C3290">
        <v>0.98</v>
      </c>
      <c r="D3290">
        <v>0.93700000000000006</v>
      </c>
      <c r="E3290">
        <v>2.7201716870511398E-20</v>
      </c>
      <c r="F3290">
        <v>14</v>
      </c>
      <c r="G3290" t="s">
        <v>2981</v>
      </c>
      <c r="H3290" t="s">
        <v>2982</v>
      </c>
      <c r="I3290" t="s">
        <v>2981</v>
      </c>
      <c r="J3290" s="1" t="str">
        <f>HYPERLINK("https://zfin.org/ZDB-GENE-121214-193")</f>
        <v>https://zfin.org/ZDB-GENE-121214-193</v>
      </c>
      <c r="K3290" t="s">
        <v>2983</v>
      </c>
    </row>
    <row r="3291" spans="1:11" x14ac:dyDescent="0.2">
      <c r="A3291">
        <v>2.0677654678987498E-17</v>
      </c>
      <c r="B3291">
        <v>0.80397231386073598</v>
      </c>
      <c r="C3291">
        <v>0.65300000000000002</v>
      </c>
      <c r="D3291">
        <v>0.26400000000000001</v>
      </c>
      <c r="E3291">
        <v>3.2015212739476398E-13</v>
      </c>
      <c r="F3291">
        <v>14</v>
      </c>
      <c r="G3291" t="s">
        <v>5867</v>
      </c>
      <c r="H3291" t="s">
        <v>5868</v>
      </c>
      <c r="I3291" t="s">
        <v>5867</v>
      </c>
      <c r="J3291" s="1" t="str">
        <f>HYPERLINK("https://zfin.org/")</f>
        <v>https://zfin.org/</v>
      </c>
    </row>
    <row r="3292" spans="1:11" x14ac:dyDescent="0.2">
      <c r="A3292">
        <v>4.70075394091683E-17</v>
      </c>
      <c r="B3292">
        <v>0.79773000551673101</v>
      </c>
      <c r="C3292">
        <v>0.53500000000000003</v>
      </c>
      <c r="D3292">
        <v>0.19600000000000001</v>
      </c>
      <c r="E3292">
        <v>7.2781773267215301E-13</v>
      </c>
      <c r="F3292">
        <v>14</v>
      </c>
      <c r="G3292" t="s">
        <v>6005</v>
      </c>
      <c r="H3292" t="s">
        <v>6006</v>
      </c>
      <c r="I3292" t="s">
        <v>6005</v>
      </c>
      <c r="J3292" s="1" t="str">
        <f>HYPERLINK("https://zfin.org/ZDB-GENE-040718-440")</f>
        <v>https://zfin.org/ZDB-GENE-040718-440</v>
      </c>
      <c r="K3292" t="s">
        <v>6007</v>
      </c>
    </row>
    <row r="3293" spans="1:11" x14ac:dyDescent="0.2">
      <c r="A3293">
        <v>7.6595098001277004E-14</v>
      </c>
      <c r="B3293">
        <v>0.48797428200216603</v>
      </c>
      <c r="C3293">
        <v>1</v>
      </c>
      <c r="D3293">
        <v>1</v>
      </c>
      <c r="E3293">
        <v>1.1859219023537701E-9</v>
      </c>
      <c r="F3293">
        <v>14</v>
      </c>
      <c r="G3293" t="s">
        <v>860</v>
      </c>
      <c r="H3293" t="s">
        <v>861</v>
      </c>
      <c r="I3293" t="s">
        <v>860</v>
      </c>
      <c r="J3293" s="1" t="str">
        <f>HYPERLINK("https://zfin.org/ZDB-GENE-080225-18")</f>
        <v>https://zfin.org/ZDB-GENE-080225-18</v>
      </c>
      <c r="K3293" t="s">
        <v>862</v>
      </c>
    </row>
    <row r="3294" spans="1:11" x14ac:dyDescent="0.2">
      <c r="A3294">
        <v>3.3112842289296098E-13</v>
      </c>
      <c r="B3294">
        <v>0.472495255251143</v>
      </c>
      <c r="C3294">
        <v>0.99</v>
      </c>
      <c r="D3294">
        <v>0.92</v>
      </c>
      <c r="E3294">
        <v>5.1268613716517204E-9</v>
      </c>
      <c r="F3294">
        <v>14</v>
      </c>
      <c r="G3294" t="s">
        <v>1447</v>
      </c>
      <c r="H3294" t="s">
        <v>1448</v>
      </c>
      <c r="I3294" t="s">
        <v>1447</v>
      </c>
      <c r="J3294" s="1" t="str">
        <f>HYPERLINK("https://zfin.org/ZDB-GENE-040426-1508")</f>
        <v>https://zfin.org/ZDB-GENE-040426-1508</v>
      </c>
      <c r="K3294" t="s">
        <v>1449</v>
      </c>
    </row>
    <row r="3295" spans="1:11" x14ac:dyDescent="0.2">
      <c r="A3295">
        <v>4.8981602106409305E-13</v>
      </c>
      <c r="B3295">
        <v>0.67500776301355203</v>
      </c>
      <c r="C3295">
        <v>0.72299999999999998</v>
      </c>
      <c r="D3295">
        <v>0.44800000000000001</v>
      </c>
      <c r="E3295">
        <v>7.5838214541353493E-9</v>
      </c>
      <c r="F3295">
        <v>14</v>
      </c>
      <c r="G3295" t="s">
        <v>6414</v>
      </c>
      <c r="H3295" t="s">
        <v>6415</v>
      </c>
      <c r="I3295" t="s">
        <v>6414</v>
      </c>
      <c r="J3295" s="1" t="str">
        <f>HYPERLINK("https://zfin.org/ZDB-GENE-030829-65")</f>
        <v>https://zfin.org/ZDB-GENE-030829-65</v>
      </c>
      <c r="K3295" t="s">
        <v>6416</v>
      </c>
    </row>
    <row r="3296" spans="1:11" x14ac:dyDescent="0.2">
      <c r="A3296">
        <v>1.65859537158048E-12</v>
      </c>
      <c r="B3296">
        <v>0.48530703630493699</v>
      </c>
      <c r="C3296">
        <v>0.77200000000000002</v>
      </c>
      <c r="D3296">
        <v>0.46800000000000003</v>
      </c>
      <c r="E3296">
        <v>2.5680032138180501E-8</v>
      </c>
      <c r="F3296">
        <v>14</v>
      </c>
      <c r="G3296" t="s">
        <v>5330</v>
      </c>
      <c r="H3296" t="s">
        <v>5331</v>
      </c>
      <c r="I3296" t="s">
        <v>5330</v>
      </c>
      <c r="J3296" s="1" t="str">
        <f>HYPERLINK("https://zfin.org/ZDB-GENE-080917-47")</f>
        <v>https://zfin.org/ZDB-GENE-080917-47</v>
      </c>
      <c r="K3296" t="s">
        <v>5332</v>
      </c>
    </row>
    <row r="3297" spans="1:11" x14ac:dyDescent="0.2">
      <c r="A3297">
        <v>8.2243304470207594E-12</v>
      </c>
      <c r="B3297">
        <v>0.50540269344659305</v>
      </c>
      <c r="C3297">
        <v>0.97</v>
      </c>
      <c r="D3297">
        <v>0.86299999999999999</v>
      </c>
      <c r="E3297">
        <v>1.2733730831122201E-7</v>
      </c>
      <c r="F3297">
        <v>14</v>
      </c>
      <c r="G3297" t="s">
        <v>1685</v>
      </c>
      <c r="H3297" t="s">
        <v>1686</v>
      </c>
      <c r="I3297" t="s">
        <v>1685</v>
      </c>
      <c r="J3297" s="1" t="str">
        <f>HYPERLINK("https://zfin.org/ZDB-GENE-031001-11")</f>
        <v>https://zfin.org/ZDB-GENE-031001-11</v>
      </c>
      <c r="K3297" t="s">
        <v>1687</v>
      </c>
    </row>
    <row r="3298" spans="1:11" x14ac:dyDescent="0.2">
      <c r="A3298">
        <v>1.7026749255609199E-10</v>
      </c>
      <c r="B3298">
        <v>0.31266214573341899</v>
      </c>
      <c r="C3298">
        <v>1</v>
      </c>
      <c r="D3298">
        <v>1</v>
      </c>
      <c r="E3298">
        <v>2.6362515872459698E-6</v>
      </c>
      <c r="F3298">
        <v>14</v>
      </c>
      <c r="G3298" t="s">
        <v>863</v>
      </c>
      <c r="H3298" t="s">
        <v>864</v>
      </c>
      <c r="I3298" t="s">
        <v>863</v>
      </c>
      <c r="J3298" s="1" t="str">
        <f>HYPERLINK("https://zfin.org/ZDB-GENE-130603-61")</f>
        <v>https://zfin.org/ZDB-GENE-130603-61</v>
      </c>
      <c r="K3298" t="s">
        <v>865</v>
      </c>
    </row>
    <row r="3299" spans="1:11" x14ac:dyDescent="0.2">
      <c r="A3299">
        <v>3.8128342259620002E-10</v>
      </c>
      <c r="B3299">
        <v>-1.1838863666054</v>
      </c>
      <c r="C3299">
        <v>0.158</v>
      </c>
      <c r="D3299">
        <v>0.46700000000000003</v>
      </c>
      <c r="E3299">
        <v>5.9034112320569598E-6</v>
      </c>
      <c r="F3299">
        <v>14</v>
      </c>
      <c r="G3299" t="s">
        <v>1318</v>
      </c>
      <c r="H3299" t="s">
        <v>1319</v>
      </c>
      <c r="I3299" t="s">
        <v>1318</v>
      </c>
      <c r="J3299" s="1" t="str">
        <f>HYPERLINK("https://zfin.org/ZDB-GENE-040718-162")</f>
        <v>https://zfin.org/ZDB-GENE-040718-162</v>
      </c>
      <c r="K3299" t="s">
        <v>1320</v>
      </c>
    </row>
    <row r="3300" spans="1:11" x14ac:dyDescent="0.2">
      <c r="A3300">
        <v>2.0645194980486802E-9</v>
      </c>
      <c r="B3300">
        <v>0.619946399076307</v>
      </c>
      <c r="C3300">
        <v>0.41599999999999998</v>
      </c>
      <c r="D3300">
        <v>0.187</v>
      </c>
      <c r="E3300">
        <v>3.1964955388287797E-5</v>
      </c>
      <c r="F3300">
        <v>14</v>
      </c>
      <c r="G3300" t="s">
        <v>6417</v>
      </c>
      <c r="H3300" t="s">
        <v>6418</v>
      </c>
      <c r="I3300" t="s">
        <v>6417</v>
      </c>
      <c r="J3300" s="1" t="str">
        <f>HYPERLINK("https://zfin.org/ZDB-GENE-061103-589")</f>
        <v>https://zfin.org/ZDB-GENE-061103-589</v>
      </c>
      <c r="K3300" t="s">
        <v>6419</v>
      </c>
    </row>
    <row r="3301" spans="1:11" x14ac:dyDescent="0.2">
      <c r="A3301">
        <v>2.2321440700972002E-9</v>
      </c>
      <c r="B3301">
        <v>0.57214524440022196</v>
      </c>
      <c r="C3301">
        <v>0.16800000000000001</v>
      </c>
      <c r="D3301">
        <v>3.9E-2</v>
      </c>
      <c r="E3301">
        <v>3.4560286637314898E-5</v>
      </c>
      <c r="F3301">
        <v>14</v>
      </c>
      <c r="G3301" t="s">
        <v>6420</v>
      </c>
      <c r="H3301" t="s">
        <v>6421</v>
      </c>
      <c r="I3301" t="s">
        <v>6420</v>
      </c>
      <c r="J3301" s="1" t="str">
        <f>HYPERLINK("https://zfin.org/ZDB-GENE-991019-5")</f>
        <v>https://zfin.org/ZDB-GENE-991019-5</v>
      </c>
      <c r="K3301" t="s">
        <v>6422</v>
      </c>
    </row>
    <row r="3302" spans="1:11" x14ac:dyDescent="0.2">
      <c r="A3302">
        <v>2.3942609739751802E-9</v>
      </c>
      <c r="B3302">
        <v>-0.95799692151268401</v>
      </c>
      <c r="C3302">
        <v>0.54500000000000004</v>
      </c>
      <c r="D3302">
        <v>0.73599999999999999</v>
      </c>
      <c r="E3302">
        <v>3.7070342660057801E-5</v>
      </c>
      <c r="F3302">
        <v>14</v>
      </c>
      <c r="G3302" t="s">
        <v>2057</v>
      </c>
      <c r="H3302" t="s">
        <v>2058</v>
      </c>
      <c r="I3302" t="s">
        <v>2057</v>
      </c>
      <c r="J3302" s="1" t="str">
        <f>HYPERLINK("https://zfin.org/ZDB-GENE-041121-18")</f>
        <v>https://zfin.org/ZDB-GENE-041121-18</v>
      </c>
      <c r="K3302" t="s">
        <v>2059</v>
      </c>
    </row>
    <row r="3303" spans="1:11" x14ac:dyDescent="0.2">
      <c r="A3303">
        <v>4.6043070674249299E-9</v>
      </c>
      <c r="B3303">
        <v>0.69160523244077898</v>
      </c>
      <c r="C3303">
        <v>0.71299999999999997</v>
      </c>
      <c r="D3303">
        <v>0.46700000000000003</v>
      </c>
      <c r="E3303">
        <v>7.1288486324940197E-5</v>
      </c>
      <c r="F3303">
        <v>14</v>
      </c>
      <c r="G3303" t="s">
        <v>2954</v>
      </c>
      <c r="H3303" t="s">
        <v>2955</v>
      </c>
      <c r="I3303" t="s">
        <v>2954</v>
      </c>
      <c r="J3303" s="1" t="str">
        <f>HYPERLINK("https://zfin.org/ZDB-GENE-031112-4")</f>
        <v>https://zfin.org/ZDB-GENE-031112-4</v>
      </c>
      <c r="K3303" t="s">
        <v>2956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123A-A460-BB43-B2D8-7BF768E27AEF}">
  <dimension ref="A1"/>
  <sheetViews>
    <sheetView tabSelected="1" workbookViewId="0">
      <selection activeCell="D7" sqref="D7"/>
    </sheetView>
  </sheetViews>
  <sheetFormatPr baseColWidth="10" defaultRowHeight="15" x14ac:dyDescent="0.2"/>
  <sheetData>
    <row r="1" spans="1:1" ht="19" x14ac:dyDescent="0.25">
      <c r="A1" s="2" t="s">
        <v>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marker.table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Diaz, Daniel</cp:lastModifiedBy>
  <dcterms:created xsi:type="dcterms:W3CDTF">2018-07-17T15:00:38Z</dcterms:created>
  <dcterms:modified xsi:type="dcterms:W3CDTF">2018-12-02T18:36:38Z</dcterms:modified>
</cp:coreProperties>
</file>